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询价\"/>
    </mc:Choice>
  </mc:AlternateContent>
  <bookViews>
    <workbookView xWindow="480" yWindow="210" windowWidth="12120" windowHeight="7620" tabRatio="875" firstSheet="13" activeTab="17"/>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土地案例" sheetId="6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剩余法-待开发" sheetId="12" r:id="rId34"/>
    <sheet name="不动产收益法" sheetId="15" r:id="rId35"/>
    <sheet name="Sheet2" sheetId="70"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1"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F8" i="12" l="1"/>
  <c r="E10" i="12"/>
  <c r="G10" i="12"/>
  <c r="F10" i="12"/>
  <c r="D10" i="12"/>
  <c r="C10" i="12"/>
  <c r="E73" i="39"/>
  <c r="F73" i="39"/>
  <c r="G73" i="39" s="1"/>
  <c r="H73" i="39" s="1"/>
  <c r="I73" i="39" s="1"/>
  <c r="J73" i="39" s="1"/>
  <c r="K73" i="39" s="1"/>
  <c r="L73" i="39" s="1"/>
  <c r="M73" i="39" s="1"/>
  <c r="N73" i="39" s="1"/>
  <c r="D73" i="39"/>
  <c r="I48" i="39"/>
  <c r="G48" i="39"/>
  <c r="E48" i="39"/>
  <c r="I40" i="39"/>
  <c r="G40" i="39"/>
  <c r="E40" i="39"/>
  <c r="C40" i="39"/>
  <c r="I13" i="39"/>
  <c r="G13" i="39"/>
  <c r="E13" i="39"/>
  <c r="C13" i="39"/>
  <c r="I9" i="39"/>
  <c r="G9" i="39"/>
  <c r="E9" i="39"/>
  <c r="I7" i="39"/>
  <c r="G7" i="39"/>
  <c r="E7" i="39"/>
  <c r="L18" i="69"/>
  <c r="L19" i="69"/>
  <c r="L20" i="69"/>
  <c r="L21" i="69"/>
  <c r="L22" i="69"/>
  <c r="L23" i="69"/>
  <c r="L24" i="69"/>
  <c r="L25" i="69"/>
  <c r="L26" i="69"/>
  <c r="L27" i="69"/>
  <c r="L28" i="69"/>
  <c r="L17" i="69"/>
  <c r="L3" i="69"/>
  <c r="F28" i="69"/>
  <c r="F27" i="69"/>
  <c r="F26" i="69"/>
  <c r="F25" i="69"/>
  <c r="F24" i="69"/>
  <c r="F23" i="69"/>
  <c r="F22" i="69"/>
  <c r="F21" i="69"/>
  <c r="F20" i="69"/>
  <c r="F19" i="69"/>
  <c r="F18" i="69"/>
  <c r="F17" i="69"/>
  <c r="L6" i="69"/>
  <c r="L4" i="69"/>
  <c r="L5" i="69"/>
  <c r="L7" i="69"/>
  <c r="L8" i="69"/>
  <c r="L9" i="69"/>
  <c r="L10" i="69"/>
  <c r="L11" i="69"/>
  <c r="F11" i="69"/>
  <c r="F10" i="69"/>
  <c r="F9" i="69"/>
  <c r="F8" i="69"/>
  <c r="F7" i="69"/>
  <c r="F6" i="69"/>
  <c r="F5" i="69"/>
  <c r="F4" i="69"/>
  <c r="F3" i="69"/>
  <c r="F21" i="6" l="1"/>
  <c r="F20" i="6"/>
  <c r="F19" i="6"/>
  <c r="G23" i="6"/>
  <c r="G22" i="6"/>
  <c r="AN19" i="3"/>
  <c r="AP15" i="3"/>
  <c r="AL15" i="3"/>
  <c r="D3" i="4"/>
  <c r="Q72" i="68"/>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37" i="68"/>
  <c r="M9" i="68"/>
  <c r="M26" i="68"/>
  <c r="F13" i="68"/>
  <c r="F40" i="68"/>
  <c r="J15" i="68"/>
  <c r="F6" i="68"/>
  <c r="F42" i="68"/>
  <c r="M28" i="68"/>
  <c r="F16" i="68"/>
  <c r="F26" i="68"/>
  <c r="F38" i="68"/>
  <c r="M22" i="68"/>
  <c r="F8" i="68"/>
  <c r="M23" i="68"/>
  <c r="M8" i="68"/>
  <c r="C76" i="68"/>
  <c r="F36" i="68"/>
  <c r="M24" i="68"/>
  <c r="F9"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1" i="55"/>
  <c r="A10" i="55"/>
  <c r="A9" i="55"/>
  <c r="A8" i="55"/>
  <c r="A6" i="54"/>
  <c r="A8" i="54"/>
  <c r="A7" i="54"/>
  <c r="A27" i="51"/>
  <c r="D5" i="46" l="1"/>
  <c r="Q7" i="59" l="1"/>
  <c r="O7" i="59"/>
  <c r="N8" i="59"/>
  <c r="O8" i="59"/>
  <c r="P8" i="59"/>
  <c r="Q8" i="59"/>
  <c r="N7" i="59"/>
  <c r="P7" i="59"/>
  <c r="B13" i="67"/>
  <c r="E12" i="67"/>
  <c r="B14" i="67"/>
  <c r="B8" i="67"/>
  <c r="F11" i="67"/>
  <c r="E10" i="67"/>
  <c r="B11" i="67"/>
  <c r="F14" i="67"/>
  <c r="F12" i="67"/>
  <c r="B10" i="67"/>
  <c r="F13" i="67"/>
  <c r="E8" i="67"/>
  <c r="F9" i="67"/>
  <c r="E9" i="67"/>
  <c r="E14" i="67"/>
  <c r="B9" i="67"/>
  <c r="B12" i="67"/>
  <c r="F8" i="67"/>
  <c r="E11" i="67"/>
  <c r="F10" i="67"/>
  <c r="E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4" i="65"/>
  <c r="J7" i="65"/>
  <c r="J4" i="65"/>
  <c r="I5" i="65"/>
  <c r="J3" i="65"/>
  <c r="J6" i="65"/>
  <c r="I4" i="65"/>
  <c r="N6" i="65"/>
  <c r="N3" i="65"/>
  <c r="I7" i="65"/>
  <c r="I3" i="65"/>
  <c r="N5" i="65"/>
  <c r="J5" i="65"/>
  <c r="I6"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B11" i="59" l="1"/>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J51" i="15" s="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K9" i="1" s="1"/>
  <c r="M9" i="1" s="1"/>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C6" i="12"/>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F5" i="3" s="1"/>
  <c r="BG18" i="3"/>
  <c r="BH18" i="3"/>
  <c r="BI18" i="3"/>
  <c r="BJ18" i="3"/>
  <c r="BK18" i="3"/>
  <c r="BM18" i="3"/>
  <c r="BN18" i="3"/>
  <c r="BO18" i="3"/>
  <c r="BP18" i="3"/>
  <c r="BR18" i="3"/>
  <c r="BS18" i="3"/>
  <c r="BT18" i="3"/>
  <c r="BT5" i="3" s="1"/>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D105" i="37"/>
  <c r="E105" i="37" s="1"/>
  <c r="F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AC24" i="35" s="1"/>
  <c r="B73" i="35"/>
  <c r="J23" i="35" s="1"/>
  <c r="AC23" i="35" s="1"/>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H44" i="21" s="1"/>
  <c r="U44" i="21" s="1"/>
  <c r="B98" i="21"/>
  <c r="B96" i="21"/>
  <c r="B94" i="21"/>
  <c r="B92" i="21"/>
  <c r="F28" i="21" s="1"/>
  <c r="S28" i="21" s="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c r="BH13" i="3"/>
  <c r="BI13" i="3"/>
  <c r="BI5" i="3" s="1"/>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J26" i="21"/>
  <c r="W26" i="21" s="1"/>
  <c r="F26" i="21"/>
  <c r="AA26" i="21" s="1"/>
  <c r="AB41" i="21"/>
  <c r="S41" i="21"/>
  <c r="AA41" i="21"/>
  <c r="W41" i="21"/>
  <c r="S10" i="39"/>
  <c r="U30" i="37"/>
  <c r="E103" i="37"/>
  <c r="F103" i="37" s="1"/>
  <c r="F39" i="37"/>
  <c r="S39" i="37" s="1"/>
  <c r="F29" i="36"/>
  <c r="AA29" i="36" s="1"/>
  <c r="F16" i="36"/>
  <c r="AA16" i="36" s="1"/>
  <c r="U22" i="36"/>
  <c r="W23" i="36"/>
  <c r="W22" i="36"/>
  <c r="U26" i="36"/>
  <c r="AC31" i="36"/>
  <c r="J33" i="36"/>
  <c r="W33" i="36" s="1"/>
  <c r="AC27" i="35"/>
  <c r="U31" i="35"/>
  <c r="W36" i="35"/>
  <c r="W24" i="35"/>
  <c r="S31" i="35"/>
  <c r="W31" i="35"/>
  <c r="U34" i="35"/>
  <c r="F36" i="34"/>
  <c r="S36" i="34" s="1"/>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86" i="40"/>
  <c r="G86" i="40" s="1"/>
  <c r="AA12" i="33"/>
  <c r="U9" i="21"/>
  <c r="J27" i="36"/>
  <c r="W27" i="36" s="1"/>
  <c r="J34" i="36"/>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S38" i="33"/>
  <c r="E113" i="33"/>
  <c r="F36" i="33"/>
  <c r="S36" i="33" s="1"/>
  <c r="F19" i="33"/>
  <c r="S19" i="33" s="1"/>
  <c r="J19" i="33"/>
  <c r="S10" i="21"/>
  <c r="W40" i="33"/>
  <c r="F125" i="21"/>
  <c r="G125" i="21" s="1"/>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F14" i="21"/>
  <c r="AA14" i="21" s="1"/>
  <c r="H28" i="21"/>
  <c r="J28" i="21"/>
  <c r="AC28" i="21" s="1"/>
  <c r="F30" i="21"/>
  <c r="S30" i="21" s="1"/>
  <c r="J44" i="21"/>
  <c r="AC44" i="21" s="1"/>
  <c r="F44" i="21"/>
  <c r="AA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46" i="33"/>
  <c r="J36" i="37"/>
  <c r="AC36" i="37" s="1"/>
  <c r="G105" i="37"/>
  <c r="AB28" i="36"/>
  <c r="AB31" i="21"/>
  <c r="AA28" i="21"/>
  <c r="W42" i="21"/>
  <c r="W31" i="34"/>
  <c r="S46" i="33"/>
  <c r="U36" i="37"/>
  <c r="AB45" i="33"/>
  <c r="AB31" i="33"/>
  <c r="AB27" i="33"/>
  <c r="S45" i="21"/>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AZ555" i="3" s="1"/>
  <c r="BL551" i="3"/>
  <c r="BL541" i="3"/>
  <c r="AZ541" i="3" s="1"/>
  <c r="BL533" i="3"/>
  <c r="BL525" i="3"/>
  <c r="G518" i="3"/>
  <c r="G514" i="3"/>
  <c r="G510" i="3"/>
  <c r="BL503" i="3"/>
  <c r="BL495" i="3"/>
  <c r="BL485" i="3"/>
  <c r="G18" i="3"/>
  <c r="BA569" i="3"/>
  <c r="AZ569" i="3" s="1"/>
  <c r="BA565" i="3"/>
  <c r="BA561" i="3"/>
  <c r="AZ561" i="3" s="1"/>
  <c r="BA559" i="3"/>
  <c r="AZ559" i="3" s="1"/>
  <c r="BA557" i="3"/>
  <c r="AZ557" i="3"/>
  <c r="BA555" i="3"/>
  <c r="BA551" i="3"/>
  <c r="AZ551" i="3"/>
  <c r="BA545" i="3"/>
  <c r="BA543" i="3"/>
  <c r="BA541" i="3"/>
  <c r="BA531" i="3"/>
  <c r="BA521" i="3"/>
  <c r="BA509" i="3"/>
  <c r="BA505" i="3"/>
  <c r="BA501" i="3"/>
  <c r="BA493" i="3"/>
  <c r="BA487" i="3"/>
  <c r="BA19" i="3"/>
  <c r="BA572" i="3"/>
  <c r="BA566" i="3"/>
  <c r="BA562" i="3"/>
  <c r="BA560" i="3"/>
  <c r="BA558" i="3"/>
  <c r="BA556" i="3"/>
  <c r="BA554" i="3"/>
  <c r="BA550" i="3"/>
  <c r="AZ550" i="3"/>
  <c r="BA546" i="3"/>
  <c r="BA544" i="3"/>
  <c r="BA540" i="3"/>
  <c r="BA536" i="3"/>
  <c r="BA532" i="3"/>
  <c r="BA528" i="3"/>
  <c r="BA524" i="3"/>
  <c r="BA520" i="3"/>
  <c r="AZ520" i="3" s="1"/>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c r="BQ568" i="3"/>
  <c r="BQ566" i="3"/>
  <c r="BQ564" i="3"/>
  <c r="BL564" i="3"/>
  <c r="BQ562" i="3"/>
  <c r="BL562" i="3"/>
  <c r="BQ560" i="3"/>
  <c r="BL560" i="3" s="1"/>
  <c r="BQ558" i="3"/>
  <c r="BL558" i="3" s="1"/>
  <c r="BQ556" i="3"/>
  <c r="BL556" i="3" s="1"/>
  <c r="AZ556" i="3"/>
  <c r="BQ554" i="3"/>
  <c r="BQ552" i="3"/>
  <c r="BL552" i="3" s="1"/>
  <c r="BQ550" i="3"/>
  <c r="BL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AC12" i="35"/>
  <c r="W23" i="35"/>
  <c r="U39" i="37"/>
  <c r="AC8" i="37"/>
  <c r="S25" i="37"/>
  <c r="AC36" i="34"/>
  <c r="AB8" i="34"/>
  <c r="AA13" i="33"/>
  <c r="U19" i="21"/>
  <c r="AC33" i="21"/>
  <c r="AA36" i="21"/>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22" i="3"/>
  <c r="H13" i="39"/>
  <c r="AB13" i="39" s="1"/>
  <c r="F13" i="39"/>
  <c r="AA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H19" i="39"/>
  <c r="U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AZ570" i="3" s="1"/>
  <c r="BE5" i="3"/>
  <c r="F42" i="21"/>
  <c r="AA42" i="21" s="1"/>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AZ534" i="3"/>
  <c r="BA533" i="3"/>
  <c r="AZ533" i="3"/>
  <c r="BL531" i="3"/>
  <c r="AZ531" i="3"/>
  <c r="BL530" i="3"/>
  <c r="BA530" i="3"/>
  <c r="AZ530" i="3" s="1"/>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71" i="9"/>
  <c r="AC14" i="40"/>
  <c r="S33" i="40"/>
  <c r="AC47" i="39"/>
  <c r="S47" i="39"/>
  <c r="AB25" i="39"/>
  <c r="U37" i="34"/>
  <c r="AB37" i="34"/>
  <c r="AC41" i="40"/>
  <c r="W41" i="40"/>
  <c r="U41" i="40"/>
  <c r="J23" i="40"/>
  <c r="AC23" i="40" s="1"/>
  <c r="F23" i="40"/>
  <c r="S23" i="40" s="1"/>
  <c r="W15" i="40"/>
  <c r="S23" i="39"/>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29" i="3"/>
  <c r="AZ537" i="3"/>
  <c r="AZ548" i="3"/>
  <c r="AB37" i="39"/>
  <c r="U39" i="39"/>
  <c r="J29" i="39"/>
  <c r="AC29" i="39" s="1"/>
  <c r="AB21" i="39"/>
  <c r="U21" i="39"/>
  <c r="AB17" i="39"/>
  <c r="AB33" i="36"/>
  <c r="AA11" i="36"/>
  <c r="S14" i="35"/>
  <c r="G99" i="37"/>
  <c r="F33" i="37" s="1"/>
  <c r="U46" i="34"/>
  <c r="AA14" i="34"/>
  <c r="U29" i="33"/>
  <c r="U17" i="34"/>
  <c r="AA11" i="34"/>
  <c r="W32" i="33"/>
  <c r="H15" i="33"/>
  <c r="U15" i="33" s="1"/>
  <c r="AA11" i="33"/>
  <c r="U17" i="21"/>
  <c r="S13" i="39"/>
  <c r="U16" i="40"/>
  <c r="W34" i="40"/>
  <c r="AB34" i="40"/>
  <c r="AB42" i="40"/>
  <c r="U42" i="40"/>
  <c r="AC16" i="40"/>
  <c r="W32" i="40"/>
  <c r="H25" i="40"/>
  <c r="AB25" i="40" s="1"/>
  <c r="F94" i="40"/>
  <c r="G94" i="40" s="1"/>
  <c r="U47" i="39"/>
  <c r="J37" i="34"/>
  <c r="AC37" i="34" s="1"/>
  <c r="J36" i="33"/>
  <c r="W36" i="33" s="1"/>
  <c r="S41" i="40"/>
  <c r="U27" i="39"/>
  <c r="H23" i="39"/>
  <c r="AB23" i="39" s="1"/>
  <c r="J23" i="39"/>
  <c r="AC23" i="39" s="1"/>
  <c r="F97" i="39"/>
  <c r="G97" i="39"/>
  <c r="S16" i="39"/>
  <c r="S15" i="34"/>
  <c r="AA15" i="34"/>
  <c r="AA41" i="33"/>
  <c r="F106" i="33"/>
  <c r="G106" i="33" s="1"/>
  <c r="H106" i="33" s="1"/>
  <c r="I106" i="33" s="1"/>
  <c r="J106" i="33" s="1"/>
  <c r="K106" i="33" s="1"/>
  <c r="L106" i="33" s="1"/>
  <c r="M106" i="33" s="1"/>
  <c r="J34" i="33"/>
  <c r="AC34" i="33" s="1"/>
  <c r="U30" i="40"/>
  <c r="AA37" i="39"/>
  <c r="W29" i="35"/>
  <c r="AC39" i="39"/>
  <c r="AA39" i="39"/>
  <c r="AB46" i="39"/>
  <c r="AB44"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AA43"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J10" i="33"/>
  <c r="AC10" i="33" s="1"/>
  <c r="U40" i="21"/>
  <c r="U11" i="37"/>
  <c r="U13" i="39"/>
  <c r="AC16" i="35"/>
  <c r="J11" i="34"/>
  <c r="W11" i="34" s="1"/>
  <c r="S17" i="34"/>
  <c r="AC36" i="33"/>
  <c r="F25" i="40"/>
  <c r="AA25" i="40" s="1"/>
  <c r="J11" i="33"/>
  <c r="W11" i="33" s="1"/>
  <c r="H33" i="37"/>
  <c r="AB33" i="37" s="1"/>
  <c r="W15" i="34"/>
  <c r="U20" i="35"/>
  <c r="AB20" i="35"/>
  <c r="W23" i="40"/>
  <c r="D73" i="9"/>
  <c r="N73" i="9" s="1"/>
  <c r="B11" i="1"/>
  <c r="E11" i="1" s="1"/>
  <c r="K11" i="1"/>
  <c r="M11" i="1" s="1"/>
  <c r="B9" i="1"/>
  <c r="E9" i="1" s="1"/>
  <c r="B7" i="1"/>
  <c r="E7" i="1" s="1"/>
  <c r="K7" i="1"/>
  <c r="M7" i="1" s="1"/>
  <c r="O7" i="1" s="1"/>
  <c r="P7" i="1" s="1"/>
  <c r="L47" i="68"/>
  <c r="E2" i="65"/>
  <c r="AB19" i="39" l="1"/>
  <c r="J19" i="39"/>
  <c r="W19" i="39" s="1"/>
  <c r="F19" i="39"/>
  <c r="W33" i="39"/>
  <c r="S33" i="39"/>
  <c r="H34" i="39"/>
  <c r="AB34" i="39" s="1"/>
  <c r="U34" i="39"/>
  <c r="F27" i="43"/>
  <c r="F72" i="9"/>
  <c r="F66" i="9"/>
  <c r="P72" i="9" s="1"/>
  <c r="G13" i="1"/>
  <c r="F7" i="1"/>
  <c r="F9" i="1"/>
  <c r="F8" i="1"/>
  <c r="F10" i="1"/>
  <c r="L59" i="68"/>
  <c r="N59" i="68"/>
  <c r="M59" i="68"/>
  <c r="AC13" i="40"/>
  <c r="U11" i="36"/>
  <c r="AB29" i="39"/>
  <c r="AA34" i="33"/>
  <c r="AB23" i="40"/>
  <c r="W15" i="39"/>
  <c r="AA40" i="21"/>
  <c r="AC13" i="33"/>
  <c r="W12" i="34"/>
  <c r="AC30" i="34"/>
  <c r="AA29" i="35"/>
  <c r="AB38" i="34"/>
  <c r="H100" i="40"/>
  <c r="I100" i="40" s="1"/>
  <c r="J100" i="40" s="1"/>
  <c r="K100" i="40" s="1"/>
  <c r="L100" i="40" s="1"/>
  <c r="M100" i="40" s="1"/>
  <c r="AB16" i="39"/>
  <c r="W27" i="39"/>
  <c r="AB32" i="40"/>
  <c r="W35" i="40"/>
  <c r="AB14" i="40"/>
  <c r="U31" i="37"/>
  <c r="S39" i="33"/>
  <c r="AC45" i="33"/>
  <c r="AC37" i="33"/>
  <c r="S27" i="37"/>
  <c r="AZ492" i="3"/>
  <c r="AZ493" i="3"/>
  <c r="AC13" i="36"/>
  <c r="AB40" i="37"/>
  <c r="W35" i="35"/>
  <c r="S27" i="33"/>
  <c r="AA27" i="33"/>
  <c r="U13" i="21"/>
  <c r="AB13" i="21"/>
  <c r="AB28" i="21"/>
  <c r="U28" i="21"/>
  <c r="F12" i="21"/>
  <c r="H12" i="21"/>
  <c r="J14" i="21"/>
  <c r="H14" i="21"/>
  <c r="H30" i="21"/>
  <c r="J30" i="21"/>
  <c r="H46" i="21"/>
  <c r="F46" i="21"/>
  <c r="AC9" i="34"/>
  <c r="W9" i="34"/>
  <c r="AZ412" i="3"/>
  <c r="AZ419" i="3"/>
  <c r="AZ425" i="3"/>
  <c r="AZ429" i="3"/>
  <c r="AZ448" i="3"/>
  <c r="AZ472" i="3"/>
  <c r="W23" i="37"/>
  <c r="AC23" i="37"/>
  <c r="W41" i="34"/>
  <c r="AC41" i="34"/>
  <c r="AZ544" i="3"/>
  <c r="AZ562" i="3"/>
  <c r="S38" i="37"/>
  <c r="AA38" i="37"/>
  <c r="U13" i="35"/>
  <c r="AB13" i="35"/>
  <c r="AB30" i="33"/>
  <c r="U30" i="33"/>
  <c r="W28" i="34"/>
  <c r="AC28" i="34"/>
  <c r="W34" i="36"/>
  <c r="AC34" i="36"/>
  <c r="BL572" i="3"/>
  <c r="AZ572" i="3" s="1"/>
  <c r="AA31" i="33"/>
  <c r="S31" i="33"/>
  <c r="AC39" i="37"/>
  <c r="W39" i="37"/>
  <c r="AZ389" i="3"/>
  <c r="AZ400" i="3"/>
  <c r="AZ404" i="3"/>
  <c r="AZ440" i="3"/>
  <c r="AZ464" i="3"/>
  <c r="C18" i="9"/>
  <c r="AZ368" i="3"/>
  <c r="AZ384" i="3"/>
  <c r="AZ386" i="3"/>
  <c r="AZ214" i="3"/>
  <c r="AZ218" i="3"/>
  <c r="AZ230" i="3"/>
  <c r="AZ234" i="3"/>
  <c r="AZ246" i="3"/>
  <c r="AZ250" i="3"/>
  <c r="AZ262" i="3"/>
  <c r="AZ266" i="3"/>
  <c r="H5" i="3"/>
  <c r="F9" i="34"/>
  <c r="AA9" i="34" s="1"/>
  <c r="J9" i="35"/>
  <c r="W9" i="35" s="1"/>
  <c r="F34" i="35"/>
  <c r="H24" i="36"/>
  <c r="C92" i="9"/>
  <c r="A30" i="64"/>
  <c r="A30" i="51"/>
  <c r="AZ145" i="3"/>
  <c r="AZ283" i="3"/>
  <c r="AZ287" i="3"/>
  <c r="AZ155" i="3"/>
  <c r="AZ168" i="3"/>
  <c r="AZ171" i="3"/>
  <c r="AZ186" i="3"/>
  <c r="AZ194" i="3"/>
  <c r="AZ33" i="3"/>
  <c r="AZ38" i="3"/>
  <c r="AZ49" i="3"/>
  <c r="AZ54" i="3"/>
  <c r="AZ64" i="3"/>
  <c r="AZ22" i="3"/>
  <c r="G22" i="3"/>
  <c r="AZ76" i="3"/>
  <c r="AZ80" i="3"/>
  <c r="AZ89" i="3"/>
  <c r="AZ100" i="3"/>
  <c r="AZ105" i="3"/>
  <c r="I21" i="57"/>
  <c r="D1" i="57" s="1"/>
  <c r="E10" i="57" s="1"/>
  <c r="N73" i="46"/>
  <c r="F6" i="1"/>
  <c r="G11" i="1"/>
  <c r="M22" i="44"/>
  <c r="F32" i="15"/>
  <c r="F59" i="15" s="1"/>
  <c r="F29" i="12"/>
  <c r="C29" i="12" s="1"/>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C24" i="12"/>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30" i="44"/>
  <c r="F39" i="44"/>
  <c r="J17" i="44"/>
  <c r="F40" i="44"/>
  <c r="F11" i="44"/>
  <c r="F43" i="44"/>
  <c r="F7" i="68"/>
  <c r="F43" i="68"/>
  <c r="F10" i="44"/>
  <c r="M11" i="44"/>
  <c r="M26" i="44"/>
  <c r="M22" i="15"/>
  <c r="M8" i="15"/>
  <c r="M9" i="15"/>
  <c r="F40" i="15"/>
  <c r="F43" i="15"/>
  <c r="F13" i="15"/>
  <c r="M6" i="15"/>
  <c r="F45" i="44"/>
  <c r="F28" i="44"/>
  <c r="F37" i="15"/>
  <c r="L48" i="68"/>
  <c r="M25" i="44"/>
  <c r="M24" i="44"/>
  <c r="L48" i="44"/>
  <c r="M28" i="44"/>
  <c r="F15" i="44"/>
  <c r="F9" i="44"/>
  <c r="M29" i="68"/>
  <c r="F8" i="15"/>
  <c r="F26" i="15"/>
  <c r="F8" i="44"/>
  <c r="F18" i="44"/>
  <c r="M10" i="44"/>
  <c r="F42" i="15"/>
  <c r="F38" i="44"/>
  <c r="M24" i="15"/>
  <c r="M8" i="44"/>
  <c r="F9" i="15"/>
  <c r="M23" i="15"/>
  <c r="L49" i="44"/>
  <c r="M31" i="44"/>
  <c r="F31" i="68"/>
  <c r="S19" i="39" l="1"/>
  <c r="AA19" i="39"/>
  <c r="AP10" i="1"/>
  <c r="G10" i="1"/>
  <c r="F71" i="68"/>
  <c r="F50" i="68"/>
  <c r="M7" i="68"/>
  <c r="C6" i="68"/>
  <c r="C5" i="68" s="1"/>
  <c r="L56" i="68"/>
  <c r="I54" i="68"/>
  <c r="J57" i="68"/>
  <c r="J55" i="68" s="1"/>
  <c r="J58" i="68" s="1"/>
  <c r="Q50" i="68" s="1"/>
  <c r="L58" i="68"/>
  <c r="AB24" i="36"/>
  <c r="U24" i="36"/>
  <c r="AB46" i="21"/>
  <c r="U46" i="21"/>
  <c r="U30" i="21"/>
  <c r="AB30" i="21"/>
  <c r="AC14" i="21"/>
  <c r="W14" i="21"/>
  <c r="S12" i="21"/>
  <c r="AA12" i="21"/>
  <c r="M6" i="1"/>
  <c r="C15" i="43" s="1"/>
  <c r="C16" i="46"/>
  <c r="C5" i="46" s="1"/>
  <c r="AP6" i="1"/>
  <c r="AP16" i="1" s="1"/>
  <c r="F22" i="11" s="1"/>
  <c r="AA34" i="35"/>
  <c r="S34" i="35"/>
  <c r="AA46" i="21"/>
  <c r="S46" i="21"/>
  <c r="W30" i="21"/>
  <c r="AC30" i="21"/>
  <c r="U14" i="21"/>
  <c r="AB14" i="21"/>
  <c r="U12" i="21"/>
  <c r="AB12" i="21"/>
  <c r="Q74" i="68"/>
  <c r="Q61" i="68"/>
  <c r="G6" i="1"/>
  <c r="G16" i="1" s="1"/>
  <c r="J12" i="40" s="1"/>
  <c r="I55" i="44"/>
  <c r="J54" i="44"/>
  <c r="L60" i="44"/>
  <c r="Q63" i="44" s="1"/>
  <c r="L59" i="44"/>
  <c r="Q75" i="44" s="1"/>
  <c r="J60" i="44"/>
  <c r="J58" i="44"/>
  <c r="J56" i="44" s="1"/>
  <c r="J59" i="44" s="1"/>
  <c r="Q52" i="44" s="1"/>
  <c r="L57" i="44"/>
  <c r="J61" i="44"/>
  <c r="Q50" i="44" s="1"/>
  <c r="E86" i="3"/>
  <c r="AE11" i="46"/>
  <c r="AE13" i="46" s="1"/>
  <c r="F29" i="6"/>
  <c r="F28" i="6"/>
  <c r="E28" i="6" s="1"/>
  <c r="Q73" i="44"/>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E13" i="6"/>
  <c r="E11" i="6"/>
  <c r="H70" i="46"/>
  <c r="H72" i="46"/>
  <c r="F24" i="15"/>
  <c r="C24" i="15" s="1"/>
  <c r="F26" i="44"/>
  <c r="C26" i="44" s="1"/>
  <c r="F26" i="12"/>
  <c r="F21" i="43"/>
  <c r="C23" i="43" s="1"/>
  <c r="D21" i="43" s="1"/>
  <c r="J12" i="44"/>
  <c r="A9" i="64"/>
  <c r="A9" i="51"/>
  <c r="B9" i="63" s="1"/>
  <c r="T8" i="46"/>
  <c r="V8" i="46" s="1"/>
  <c r="T12" i="46"/>
  <c r="V12" i="46" s="1"/>
  <c r="T16" i="46"/>
  <c r="V16" i="46" s="1"/>
  <c r="T9" i="46"/>
  <c r="V9" i="46" s="1"/>
  <c r="T13" i="46"/>
  <c r="V13"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E4" i="4"/>
  <c r="C4" i="4"/>
  <c r="F64" i="15"/>
  <c r="C27" i="15"/>
  <c r="F50" i="15"/>
  <c r="F67" i="15"/>
  <c r="F70" i="15"/>
  <c r="G66" i="36"/>
  <c r="J18" i="36"/>
  <c r="AE8" i="1"/>
  <c r="AE6" i="1"/>
  <c r="F7" i="15"/>
  <c r="M28" i="15"/>
  <c r="F33" i="44"/>
  <c r="F36" i="15"/>
  <c r="F38" i="15"/>
  <c r="F59" i="68"/>
  <c r="L47" i="15"/>
  <c r="J36" i="15"/>
  <c r="J15" i="15"/>
  <c r="M19" i="44"/>
  <c r="C18" i="44"/>
  <c r="C16" i="68"/>
  <c r="M29" i="15"/>
  <c r="M26" i="15"/>
  <c r="F16" i="15"/>
  <c r="F6" i="15"/>
  <c r="F41" i="68"/>
  <c r="M17" i="68"/>
  <c r="L48" i="15"/>
  <c r="F31" i="15"/>
  <c r="C10" i="15" l="1"/>
  <c r="J53" i="15"/>
  <c r="F1" i="15" s="1"/>
  <c r="E27" i="6"/>
  <c r="F107" i="46"/>
  <c r="K105" i="46"/>
  <c r="C105" i="46"/>
  <c r="K104" i="46"/>
  <c r="J109" i="46"/>
  <c r="J105" i="46"/>
  <c r="F30" i="6"/>
  <c r="F31" i="6" s="1"/>
  <c r="H7" i="36"/>
  <c r="AB7" i="36" s="1"/>
  <c r="T36" i="36" s="1"/>
  <c r="G36" i="36" s="1"/>
  <c r="G40" i="36" s="1"/>
  <c r="H40" i="36" s="1"/>
  <c r="J7" i="35"/>
  <c r="AC7" i="35" s="1"/>
  <c r="V38" i="35" s="1"/>
  <c r="I38" i="35" s="1"/>
  <c r="I42" i="35" s="1"/>
  <c r="J42" i="35" s="1"/>
  <c r="F7" i="34"/>
  <c r="F65" i="15"/>
  <c r="J57" i="15"/>
  <c r="J55" i="15" s="1"/>
  <c r="J58" i="15" s="1"/>
  <c r="Q51" i="15" s="1"/>
  <c r="L56" i="15"/>
  <c r="I54" i="15"/>
  <c r="F63" i="15"/>
  <c r="Q72" i="15"/>
  <c r="C6" i="15"/>
  <c r="L58" i="15"/>
  <c r="Q74" i="15" s="1"/>
  <c r="L59" i="15"/>
  <c r="Q75" i="15" s="1"/>
  <c r="F49" i="15"/>
  <c r="C48" i="15" s="1"/>
  <c r="M7" i="15"/>
  <c r="J6" i="68"/>
  <c r="J5" i="68" s="1"/>
  <c r="J7" i="36"/>
  <c r="W7" i="36" s="1"/>
  <c r="F7" i="36"/>
  <c r="H7" i="35"/>
  <c r="AB7" i="35" s="1"/>
  <c r="T38" i="35" s="1"/>
  <c r="G38" i="35" s="1"/>
  <c r="G42" i="35" s="1"/>
  <c r="H42" i="35" s="1"/>
  <c r="F7" i="35"/>
  <c r="H7" i="34"/>
  <c r="AB7" i="34" s="1"/>
  <c r="T49" i="34" s="1"/>
  <c r="G49" i="34" s="1"/>
  <c r="G53" i="34" s="1"/>
  <c r="H53" i="34" s="1"/>
  <c r="J7" i="34"/>
  <c r="T15" i="46"/>
  <c r="V15" i="46" s="1"/>
  <c r="T11" i="46"/>
  <c r="V11" i="46" s="1"/>
  <c r="T14" i="46"/>
  <c r="V14" i="46" s="1"/>
  <c r="T10" i="46"/>
  <c r="V10" i="46" s="1"/>
  <c r="O6" i="1"/>
  <c r="P6" i="1" s="1"/>
  <c r="C15" i="12" s="1"/>
  <c r="K107" i="46"/>
  <c r="F103" i="46"/>
  <c r="F106" i="46"/>
  <c r="C107" i="46"/>
  <c r="C104" i="46"/>
  <c r="J107" i="46"/>
  <c r="C29" i="46"/>
  <c r="E29" i="46" s="1"/>
  <c r="Q73" i="68"/>
  <c r="Q60" i="68"/>
  <c r="C38" i="68"/>
  <c r="C32"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W18" i="36"/>
  <c r="AC18" i="36"/>
  <c r="U7" i="36"/>
  <c r="W7" i="35"/>
  <c r="S7" i="37"/>
  <c r="U7" i="34"/>
  <c r="J8" i="44"/>
  <c r="J7" i="44" s="1"/>
  <c r="E48" i="33"/>
  <c r="E52" i="33" s="1"/>
  <c r="F52" i="33" s="1"/>
  <c r="C115" i="46"/>
  <c r="H12" i="40"/>
  <c r="AB12" i="40" s="1"/>
  <c r="AG6" i="1"/>
  <c r="H12" i="39"/>
  <c r="U12" i="39" s="1"/>
  <c r="F12" i="39"/>
  <c r="AA12" i="3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S7" i="34"/>
  <c r="AA7" i="34"/>
  <c r="R49" i="34" s="1"/>
  <c r="F7" i="21"/>
  <c r="J7" i="21"/>
  <c r="H7" i="21"/>
  <c r="G52" i="33"/>
  <c r="H52" i="33" s="1"/>
  <c r="G53" i="33"/>
  <c r="H53" i="33" s="1"/>
  <c r="E67" i="40"/>
  <c r="F65" i="40"/>
  <c r="E72" i="39"/>
  <c r="F70" i="39"/>
  <c r="E39" i="46"/>
  <c r="I53" i="34"/>
  <c r="J53" i="34" s="1"/>
  <c r="Q53" i="15"/>
  <c r="C20" i="11"/>
  <c r="C21" i="11" s="1"/>
  <c r="C22" i="11" s="1"/>
  <c r="C23" i="11" s="1"/>
  <c r="B2" i="11" s="1"/>
  <c r="AC12" i="40"/>
  <c r="W12" i="40"/>
  <c r="E46" i="37"/>
  <c r="F46" i="37" s="1"/>
  <c r="C48" i="33"/>
  <c r="C49" i="33"/>
  <c r="B3" i="33" s="1"/>
  <c r="B2" i="33" s="1"/>
  <c r="AE7" i="1"/>
  <c r="C16" i="15"/>
  <c r="M27" i="15"/>
  <c r="M27" i="68"/>
  <c r="M29" i="44"/>
  <c r="F58" i="15"/>
  <c r="M17" i="15"/>
  <c r="L52" i="44"/>
  <c r="F41" i="15"/>
  <c r="F46" i="44"/>
  <c r="C5" i="15" l="1"/>
  <c r="C38" i="15" s="1"/>
  <c r="F68" i="15"/>
  <c r="M23" i="6"/>
  <c r="I23" i="6" s="1"/>
  <c r="S23" i="6" s="1"/>
  <c r="S10" i="1"/>
  <c r="AB12" i="39"/>
  <c r="Q61" i="15"/>
  <c r="S5" i="46"/>
  <c r="T5" i="46" s="1"/>
  <c r="V5" i="46" s="1"/>
  <c r="S2" i="46"/>
  <c r="T2" i="46" s="1"/>
  <c r="V2" i="46" s="1"/>
  <c r="S3" i="46"/>
  <c r="T3" i="46" s="1"/>
  <c r="V3" i="46" s="1"/>
  <c r="S6" i="46"/>
  <c r="T6" i="46" s="1"/>
  <c r="V6" i="46" s="1"/>
  <c r="S7" i="46"/>
  <c r="T7" i="46" s="1"/>
  <c r="V7" i="46" s="1"/>
  <c r="S4" i="46"/>
  <c r="T4" i="46" s="1"/>
  <c r="V4" i="46" s="1"/>
  <c r="AC7" i="37"/>
  <c r="V42" i="37" s="1"/>
  <c r="I42" i="37" s="1"/>
  <c r="I46" i="37" s="1"/>
  <c r="J46" i="37" s="1"/>
  <c r="C30" i="46"/>
  <c r="E30" i="46" s="1"/>
  <c r="Q62" i="15"/>
  <c r="G43" i="35"/>
  <c r="H43" i="35" s="1"/>
  <c r="G54" i="34"/>
  <c r="H54" i="34" s="1"/>
  <c r="J6" i="15"/>
  <c r="J5" i="15" s="1"/>
  <c r="J18" i="15" s="1"/>
  <c r="AC7" i="36"/>
  <c r="V36" i="36" s="1"/>
  <c r="I36" i="36" s="1"/>
  <c r="C60" i="68"/>
  <c r="C66" i="68"/>
  <c r="J24" i="68"/>
  <c r="J26" i="68"/>
  <c r="J29" i="68" s="1"/>
  <c r="J18"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C32" i="15"/>
  <c r="J20" i="44"/>
  <c r="J26" i="44"/>
  <c r="B3" i="11"/>
  <c r="C14" i="68"/>
  <c r="C19" i="44"/>
  <c r="C17" i="68"/>
  <c r="C17" i="15"/>
  <c r="F7" i="67"/>
  <c r="E4" i="67" l="1"/>
  <c r="J24" i="15"/>
  <c r="C27" i="46"/>
  <c r="C15" i="68"/>
  <c r="C18" i="68"/>
  <c r="I40" i="36"/>
  <c r="J40" i="36" s="1"/>
  <c r="G41" i="36"/>
  <c r="H41" i="36" s="1"/>
  <c r="I41" i="36"/>
  <c r="J41" i="36" s="1"/>
  <c r="G46" i="37"/>
  <c r="H46" i="37" s="1"/>
  <c r="E47" i="37"/>
  <c r="F47" i="37" s="1"/>
  <c r="L47" i="44"/>
  <c r="Q59" i="44"/>
  <c r="Q68" i="44"/>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E7" i="67"/>
  <c r="B7" i="67"/>
  <c r="C19" i="68" l="1"/>
  <c r="E3" i="67"/>
  <c r="C20" i="68"/>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6" i="44"/>
  <c r="C23" i="68" l="1"/>
  <c r="C29" i="68" s="1"/>
  <c r="C57" i="68" s="1"/>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15"/>
  <c r="M21" i="68"/>
  <c r="F35" i="15"/>
  <c r="F37" i="44"/>
  <c r="F35" i="68"/>
  <c r="M23" i="44"/>
  <c r="J59" i="68" l="1"/>
  <c r="J60" i="68" s="1"/>
  <c r="J19" i="68"/>
  <c r="C33" i="68"/>
  <c r="Q49" i="68"/>
  <c r="C36" i="68"/>
  <c r="J14" i="68"/>
  <c r="J22" i="68" s="1"/>
  <c r="C13" i="68"/>
  <c r="C37" i="68" s="1"/>
  <c r="J20" i="68"/>
  <c r="F63" i="68"/>
  <c r="C62" i="68" s="1"/>
  <c r="C34" i="68"/>
  <c r="C61" i="68"/>
  <c r="C64" i="68"/>
  <c r="C21" i="44"/>
  <c r="C22" i="44" s="1"/>
  <c r="C25" i="44" s="1"/>
  <c r="C19" i="15"/>
  <c r="J20" i="15"/>
  <c r="C36" i="44"/>
  <c r="C34" i="15"/>
  <c r="F62" i="15"/>
  <c r="C61" i="15" s="1"/>
  <c r="J22" i="44"/>
  <c r="C20" i="15"/>
  <c r="C23" i="15" s="1"/>
  <c r="C18" i="12"/>
  <c r="R16" i="1"/>
  <c r="D31" i="6"/>
  <c r="I6" i="6" s="1"/>
  <c r="R27" i="6"/>
  <c r="C18" i="43"/>
  <c r="K70" i="39"/>
  <c r="J72" i="39"/>
  <c r="K65" i="40"/>
  <c r="J67" i="40"/>
  <c r="C65" i="15"/>
  <c r="C59" i="15"/>
  <c r="J13" i="68" l="1"/>
  <c r="J23" i="68" s="1"/>
  <c r="Q48" i="68"/>
  <c r="J17" i="68"/>
  <c r="C75" i="68"/>
  <c r="C31" i="68"/>
  <c r="C30" i="68" s="1"/>
  <c r="C39" i="68" s="1"/>
  <c r="C56" i="68"/>
  <c r="C65" i="68" s="1"/>
  <c r="Q70" i="68"/>
  <c r="C59" i="68"/>
  <c r="C28" i="44"/>
  <c r="C31" i="44" s="1"/>
  <c r="C35" i="44" s="1"/>
  <c r="I5" i="6"/>
  <c r="C26" i="15"/>
  <c r="C29" i="15" s="1"/>
  <c r="J59" i="15" s="1"/>
  <c r="J60" i="15" s="1"/>
  <c r="Q49" i="15" s="1"/>
  <c r="C23" i="12"/>
  <c r="C35" i="12" s="1"/>
  <c r="C33" i="12" s="1"/>
  <c r="C19" i="43"/>
  <c r="C22" i="43" s="1"/>
  <c r="C21" i="43" s="1"/>
  <c r="K67" i="40"/>
  <c r="L65" i="40"/>
  <c r="K72" i="39"/>
  <c r="L70" i="39"/>
  <c r="J16" i="68" l="1"/>
  <c r="J25" i="68" s="1"/>
  <c r="C58" i="68"/>
  <c r="C67" i="68" s="1"/>
  <c r="C68" i="68" s="1"/>
  <c r="C71" i="68" s="1"/>
  <c r="Q69" i="68"/>
  <c r="Q68" i="68" s="1"/>
  <c r="C40" i="68"/>
  <c r="C80" i="68"/>
  <c r="C79" i="68" s="1"/>
  <c r="C33" i="44"/>
  <c r="J21" i="44"/>
  <c r="J19" i="44" s="1"/>
  <c r="Q51" i="44"/>
  <c r="C15" i="44"/>
  <c r="C38" i="44"/>
  <c r="J16" i="44"/>
  <c r="J15" i="44" s="1"/>
  <c r="J25" i="44" s="1"/>
  <c r="J19" i="15"/>
  <c r="J17" i="15" s="1"/>
  <c r="J14" i="15"/>
  <c r="J22" i="15" s="1"/>
  <c r="C56" i="15"/>
  <c r="C63" i="15" s="1"/>
  <c r="Q50" i="15"/>
  <c r="C13" i="15"/>
  <c r="J35" i="15" s="1"/>
  <c r="C36" i="15"/>
  <c r="C28" i="12"/>
  <c r="C26" i="12" s="1"/>
  <c r="C25" i="43"/>
  <c r="C24" i="43" s="1"/>
  <c r="C28" i="43" s="1"/>
  <c r="C30" i="43" s="1"/>
  <c r="L72" i="39"/>
  <c r="M70" i="39"/>
  <c r="M65" i="40"/>
  <c r="L67" i="40"/>
  <c r="C33" i="15"/>
  <c r="L51" i="68"/>
  <c r="Q67" i="68" l="1"/>
  <c r="L57" i="68"/>
  <c r="L60" i="68" s="1"/>
  <c r="L46" i="68" s="1"/>
  <c r="D2" i="68" s="1"/>
  <c r="Q56" i="68"/>
  <c r="C43" i="68"/>
  <c r="Q65" i="68"/>
  <c r="Q47" i="68"/>
  <c r="Q53" i="68" s="1"/>
  <c r="C83" i="68"/>
  <c r="C82" i="68" s="1"/>
  <c r="C45" i="68"/>
  <c r="C46"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1" i="12"/>
  <c r="C30" i="12" s="1"/>
  <c r="C36" i="12" s="1"/>
  <c r="B2" i="12" s="1"/>
  <c r="C32" i="43"/>
  <c r="B2" i="43" s="1"/>
  <c r="N70" i="39"/>
  <c r="N72" i="39" s="1"/>
  <c r="M72" i="39"/>
  <c r="N65" i="40"/>
  <c r="N67" i="40" s="1"/>
  <c r="M67" i="40"/>
  <c r="C60" i="15"/>
  <c r="D19" i="9"/>
  <c r="Q66" i="68" l="1"/>
  <c r="Q57" i="68"/>
  <c r="Q62" i="68" s="1"/>
  <c r="B2" i="68"/>
  <c r="B3" i="68"/>
  <c r="Q75" i="68"/>
  <c r="C44" i="44"/>
  <c r="C45" i="44" s="1"/>
  <c r="B2" i="44" s="1"/>
  <c r="B4" i="44" s="1"/>
  <c r="C30" i="15"/>
  <c r="C39" i="15" s="1"/>
  <c r="Q70" i="15" s="1"/>
  <c r="Q69" i="15" s="1"/>
  <c r="C58" i="15"/>
  <c r="C57" i="15" s="1"/>
  <c r="C66" i="15" s="1"/>
  <c r="C67" i="15" s="1"/>
  <c r="C70" i="15" s="1"/>
  <c r="Q70" i="44"/>
  <c r="Q49" i="44"/>
  <c r="Q55" i="44" s="1"/>
  <c r="Q58" i="44"/>
  <c r="Q64" i="44" s="1"/>
  <c r="B3" i="12"/>
  <c r="B4" i="12"/>
  <c r="L44" i="9"/>
  <c r="B5" i="12"/>
  <c r="B3" i="43"/>
  <c r="B5" i="43"/>
  <c r="B4" i="43"/>
  <c r="J9" i="40"/>
  <c r="F9" i="40"/>
  <c r="H9" i="40"/>
  <c r="J9" i="39"/>
  <c r="H9" i="39"/>
  <c r="F9" i="39"/>
  <c r="D20" i="9"/>
  <c r="D21" i="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Q76" i="15"/>
  <c r="Q58" i="15"/>
  <c r="Q63" i="15" s="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B3" i="40"/>
  <c r="B4" i="40"/>
  <c r="B5" i="40"/>
  <c r="B3" i="39"/>
  <c r="B4" i="39"/>
  <c r="B5" i="39"/>
  <c r="C21" i="9"/>
  <c r="C20" i="9"/>
  <c r="C32" i="9" l="1"/>
  <c r="D27" i="9"/>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calcChain>
</file>

<file path=xl/comments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<sst xmlns="http://schemas.openxmlformats.org/spreadsheetml/2006/main" count="7432" uniqueCount="3320">
  <si>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</si>
  <si>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</si>
  <si>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</si>
  <si>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</si>
  <si>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</si>
  <si>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</si>
  <si>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</si>
  <si>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</si>
  <si>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</si>
  <si>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</si>
  <si>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</si>
  <si>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</si>
  <si>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</si>
  <si>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</si>
  <si>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</si>
  <si>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</si>
  <si>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</si>
  <si>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</si>
  <si>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</si>
  <si>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</si>
  <si>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</si>
  <si>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</si>
  <si>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</si>
  <si>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</si>
  <si>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</si>
  <si>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</si>
  <si>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</si>
  <si>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</si>
  <si>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</si>
  <si>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</si>
  <si>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</si>
  <si>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</si>
  <si>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</si>
  <si>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</si>
  <si>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</si>
  <si>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</si>
  <si>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</si>
  <si>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</si>
  <si>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</si>
  <si>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</si>
  <si>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</si>
  <si>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</si>
  <si>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</si>
  <si>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</si>
  <si>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</si>
  <si>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</si>
  <si>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</si>
  <si>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</si>
  <si>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</si>
  <si>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</si>
  <si>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</si>
  <si>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</si>
  <si>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</si>
  <si>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</si>
  <si>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</si>
  <si>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</si>
  <si>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</si>
  <si>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</si>
  <si>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</si>
  <si>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</si>
  <si>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</si>
  <si>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</si>
  <si>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</si>
  <si>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</si>
  <si>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</si>
  <si>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</si>
  <si>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</si>
  <si>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</si>
  <si>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</si>
  <si>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</si>
  <si>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</si>
  <si>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</si>
  <si>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</si>
  <si>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</si>
  <si>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</si>
  <si>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</si>
  <si>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</si>
  <si>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</si>
  <si>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</si>
  <si>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</si>
  <si>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</si>
  <si>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</si>
  <si>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</si>
  <si>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</si>
  <si>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</si>
  <si>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</si>
  <si>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</si>
  <si>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</si>
  <si>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</si>
  <si>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</si>
  <si>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</si>
  <si>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</si>
  <si>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</si>
  <si>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</si>
  <si>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</si>
  <si>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</si>
  <si>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</si>
  <si>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</si>
  <si>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</si>
  <si>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</si>
  <si>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</si>
  <si>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</si>
  <si>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</si>
  <si>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</si>
  <si>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</si>
  <si>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</si>
  <si>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</si>
  <si>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</si>
  <si>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</si>
  <si>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</si>
  <si>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</si>
  <si>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</si>
  <si>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</si>
  <si>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</si>
  <si>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</si>
  <si>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</si>
  <si>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</si>
  <si>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</si>
  <si>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</si>
  <si>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</si>
  <si>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</si>
  <si>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</si>
  <si>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</si>
  <si>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</si>
  <si>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</si>
  <si>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</si>
  <si>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</si>
  <si>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</si>
  <si>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</si>
  <si>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</si>
  <si>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</si>
  <si>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</si>
  <si>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</si>
  <si>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</si>
  <si>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</si>
  <si>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</si>
  <si>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</si>
  <si>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</si>
  <si>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</si>
  <si>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</si>
  <si>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</si>
  <si>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</si>
  <si>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</si>
  <si>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</si>
  <si>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</si>
  <si>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</si>
  <si>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</si>
  <si>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</si>
  <si>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</si>
  <si>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</si>
  <si>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</si>
  <si>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</si>
  <si>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</si>
  <si>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</si>
  <si>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</si>
  <si>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</si>
  <si>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</si>
  <si>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</si>
  <si>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</si>
  <si>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</si>
  <si>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</si>
  <si>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</si>
  <si>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</si>
  <si>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</si>
  <si>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</si>
  <si>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</si>
  <si>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</si>
  <si>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</si>
  <si>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</si>
  <si>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</si>
  <si>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</si>
  <si>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</si>
  <si>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</si>
  <si>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</si>
  <si>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</si>
  <si>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</si>
  <si>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</si>
  <si>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</si>
  <si>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</si>
  <si>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</si>
  <si>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</si>
  <si>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</si>
  <si>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</si>
  <si>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</si>
  <si>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</si>
  <si>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</si>
  <si>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</si>
  <si>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</si>
  <si>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</si>
  <si>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</si>
  <si>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</si>
  <si>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</si>
  <si>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</si>
  <si>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</si>
  <si>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</si>
  <si>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</si>
  <si>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</si>
  <si>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</si>
  <si>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</si>
  <si>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</si>
  <si>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</si>
  <si>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</si>
  <si>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</si>
  <si>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</si>
  <si>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</si>
  <si>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</si>
  <si>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</si>
  <si>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</si>
  <si>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</si>
  <si>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</si>
  <si>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</si>
  <si>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</si>
  <si>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</si>
  <si>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</si>
  <si>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</si>
  <si>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</si>
  <si>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</si>
  <si>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</si>
  <si>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</si>
  <si>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</si>
  <si>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</si>
  <si>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</si>
  <si>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</si>
  <si>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</si>
  <si>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</si>
  <si>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</si>
  <si>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</si>
  <si>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</si>
  <si>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</si>
  <si>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</si>
  <si>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</si>
  <si>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</si>
  <si>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</si>
  <si>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</si>
  <si>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</si>
  <si>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</si>
  <si>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</si>
  <si>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</si>
  <si>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</si>
  <si>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</si>
  <si>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</si>
  <si>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</si>
  <si>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</si>
  <si>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</si>
  <si>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</si>
  <si>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</si>
  <si>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</si>
  <si>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</si>
  <si>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</si>
  <si>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</si>
  <si>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</si>
  <si>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</si>
  <si>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</si>
  <si>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</si>
  <si>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</si>
  <si>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</si>
  <si>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</si>
  <si>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</si>
  <si>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</si>
  <si>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</si>
  <si>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</si>
  <si>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</si>
  <si>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</si>
  <si>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</si>
  <si>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</si>
  <si>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</si>
  <si>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</si>
  <si>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</si>
  <si>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</si>
  <si>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</si>
  <si>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</si>
  <si>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</si>
  <si>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</si>
  <si>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</si>
  <si>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</si>
  <si>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</si>
  <si>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</si>
  <si>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</si>
  <si>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</si>
  <si>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</si>
  <si>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</si>
  <si>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</si>
  <si>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</si>
  <si>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</si>
  <si>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</si>
  <si>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</si>
  <si>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</si>
  <si>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</si>
  <si>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</si>
  <si>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</si>
  <si>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</si>
  <si>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</si>
  <si>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</si>
  <si>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</si>
  <si>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</si>
  <si>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</si>
  <si>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</si>
  <si>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</si>
  <si>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</si>
  <si>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</si>
  <si>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</si>
  <si>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</si>
  <si>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</si>
  <si>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</si>
  <si>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</si>
  <si>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</si>
  <si>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</si>
  <si>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</si>
  <si>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</si>
  <si>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</si>
  <si>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</si>
  <si>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</si>
  <si>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</si>
  <si>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</si>
  <si>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</si>
  <si>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</si>
  <si>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</si>
  <si>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</si>
  <si>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</si>
  <si>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</si>
  <si>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</si>
  <si>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</si>
  <si>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</si>
  <si>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</si>
  <si>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</si>
  <si>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</si>
  <si>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</si>
  <si>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</si>
  <si>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</si>
  <si>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</si>
  <si>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</si>
  <si>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</si>
  <si>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</si>
  <si>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</si>
  <si>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</si>
  <si>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</si>
  <si>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</si>
  <si>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</si>
  <si>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</si>
  <si>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</si>
  <si>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</si>
  <si>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</si>
  <si>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</si>
  <si>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</si>
  <si>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</si>
  <si>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</si>
  <si>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</si>
  <si>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</si>
  <si>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</si>
  <si>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</si>
  <si>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</si>
  <si>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</si>
  <si>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</si>
  <si>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</si>
  <si>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</si>
  <si>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</si>
  <si>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</si>
  <si>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</si>
  <si>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</si>
  <si>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</si>
  <si>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</si>
  <si>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</si>
  <si>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</si>
  <si>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</si>
  <si>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</si>
  <si>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</si>
  <si>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</si>
  <si>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</si>
  <si>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</si>
  <si>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</si>
  <si>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</si>
  <si>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</si>
  <si>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</si>
  <si>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</si>
  <si>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</si>
  <si>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</si>
  <si>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</si>
  <si>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</si>
  <si>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</si>
  <si>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</si>
  <si>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</si>
  <si>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</si>
  <si>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</si>
  <si>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</si>
  <si>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</si>
  <si>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</si>
  <si>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</si>
  <si>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</si>
  <si>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</si>
  <si>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</si>
  <si>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</si>
  <si>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</si>
  <si>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</si>
  <si>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</si>
  <si>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</si>
  <si>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</si>
  <si>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</si>
  <si>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</si>
  <si>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</si>
  <si>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</si>
  <si>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</si>
  <si>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</si>
  <si>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</si>
  <si>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</si>
  <si>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</si>
  <si>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</si>
  <si>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</si>
  <si>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</si>
  <si>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</si>
  <si>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</si>
  <si>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</si>
  <si>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</si>
  <si>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</si>
  <si>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</si>
  <si>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</si>
  <si>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</si>
  <si>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</si>
  <si>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</si>
  <si>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</si>
  <si>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</si>
  <si>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</si>
  <si>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</si>
  <si>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</si>
  <si>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</si>
  <si>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</si>
  <si>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</si>
  <si>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</si>
  <si>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</si>
  <si>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</si>
  <si>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</si>
  <si>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</si>
  <si>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</si>
  <si>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</si>
  <si>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</si>
  <si>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</si>
  <si>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</si>
  <si>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</si>
  <si>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</si>
  <si>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</si>
  <si>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</si>
  <si>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</si>
  <si>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</si>
  <si>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</si>
  <si>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</si>
  <si>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</si>
  <si>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</si>
  <si>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</si>
  <si>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</si>
  <si>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</si>
  <si>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</si>
  <si>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</si>
  <si>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</si>
  <si>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</si>
  <si>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</si>
  <si>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</si>
  <si>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</si>
  <si>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</si>
  <si>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</si>
  <si>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</si>
  <si>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</si>
  <si>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</si>
  <si>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</si>
  <si>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</si>
  <si>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</si>
  <si>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</si>
  <si>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</si>
  <si>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</si>
  <si>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</si>
  <si>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</si>
  <si>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</si>
  <si>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</si>
  <si>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</si>
  <si>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</si>
  <si>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</si>
  <si>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</si>
  <si>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</si>
  <si>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</si>
  <si>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</si>
  <si>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</si>
  <si>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</si>
  <si>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</si>
  <si>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</si>
  <si>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</si>
  <si>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</si>
  <si>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</si>
  <si>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</si>
  <si>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</si>
  <si>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</si>
  <si>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</si>
  <si>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</si>
  <si>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</si>
  <si>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</si>
  <si>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</si>
  <si>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</si>
  <si>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</si>
  <si>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</si>
  <si>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</si>
  <si>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</si>
  <si>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</si>
  <si>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</si>
  <si>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</si>
  <si>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</si>
  <si>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</si>
  <si>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</si>
  <si>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</si>
  <si>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</si>
  <si>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</si>
  <si>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</si>
  <si>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</si>
  <si>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</si>
  <si>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</si>
  <si>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</si>
  <si>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</si>
  <si>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</si>
  <si>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</si>
  <si>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</si>
  <si>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</si>
  <si>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</si>
  <si>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</si>
  <si>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</si>
  <si>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</si>
  <si>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</si>
  <si>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</si>
  <si>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</si>
  <si>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</si>
  <si>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</si>
  <si>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</si>
  <si>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</si>
  <si>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</si>
  <si>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</si>
  <si>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</si>
  <si>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</si>
  <si>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</si>
  <si>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</si>
  <si>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</si>
  <si>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</si>
  <si>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</si>
  <si>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</si>
  <si>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</si>
  <si>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</si>
  <si>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</si>
  <si>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</si>
  <si>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</si>
  <si>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</si>
  <si>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</si>
  <si>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</si>
  <si>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</si>
  <si>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</si>
  <si>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</si>
  <si>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</si>
  <si>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</si>
  <si>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</si>
  <si>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</si>
  <si>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</si>
  <si>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</si>
  <si>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</si>
  <si>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</si>
  <si>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</si>
  <si>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</si>
  <si>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</si>
  <si>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</si>
  <si>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</si>
  <si>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</si>
  <si>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</si>
  <si>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</si>
  <si>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</si>
  <si>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</si>
  <si>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</si>
  <si>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</si>
  <si>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</si>
  <si>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</si>
  <si>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</si>
  <si>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</si>
  <si>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</si>
  <si>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</si>
  <si>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</si>
  <si>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</si>
  <si>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</si>
  <si>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</si>
  <si>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</si>
  <si>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</si>
  <si>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</si>
  <si>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</si>
  <si>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</si>
  <si>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</si>
  <si>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</si>
  <si>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</si>
  <si>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</si>
  <si>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</si>
  <si>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</si>
  <si>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</si>
  <si>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</si>
  <si>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</si>
  <si>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</si>
  <si>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</si>
  <si>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</si>
  <si>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</si>
  <si>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</si>
  <si>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</si>
  <si>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</si>
  <si>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</si>
  <si>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</si>
  <si>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</si>
  <si>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</si>
  <si>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</si>
  <si>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</si>
  <si>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</si>
  <si>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</si>
  <si>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</si>
  <si>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</si>
  <si>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</si>
  <si>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</si>
  <si>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</si>
  <si>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</si>
  <si>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</si>
  <si>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</si>
  <si>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</si>
  <si>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</si>
  <si>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</si>
  <si>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</si>
  <si>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</si>
  <si>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</si>
  <si>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</si>
  <si>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</si>
  <si>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</si>
  <si>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</si>
  <si>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</si>
  <si>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</si>
  <si>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</si>
  <si>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</si>
  <si>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</si>
  <si>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</si>
  <si>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</si>
  <si>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</si>
  <si>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</si>
  <si>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</si>
  <si>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</si>
  <si>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</si>
  <si>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</si>
  <si>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</si>
  <si>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</si>
  <si>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</si>
  <si>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</si>
  <si>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</si>
  <si>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</si>
  <si>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</si>
  <si>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</si>
  <si>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</si>
  <si>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</si>
  <si>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</si>
  <si>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</si>
  <si>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</si>
  <si>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</si>
  <si>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</si>
  <si>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</si>
  <si>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</si>
  <si>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</si>
  <si>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</si>
  <si>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</si>
  <si>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</si>
  <si>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</si>
  <si>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</si>
  <si>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</si>
  <si>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</si>
  <si>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</si>
  <si>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</si>
  <si>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</si>
  <si>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</si>
  <si>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</si>
  <si>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</si>
  <si>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</si>
  <si>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</si>
  <si>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</si>
  <si>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</si>
  <si>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</si>
  <si>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</si>
  <si>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</si>
  <si>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</si>
  <si>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</si>
  <si>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</si>
  <si>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</si>
  <si>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</si>
  <si>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</si>
  <si>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</si>
  <si>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</si>
  <si>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</si>
  <si>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</si>
  <si>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</si>
  <si>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</si>
  <si>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</si>
  <si>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</si>
  <si>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</si>
  <si>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</si>
  <si>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</si>
  <si>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</si>
  <si>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</si>
  <si>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</si>
  <si>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</si>
  <si>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</si>
  <si>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</si>
  <si>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</si>
  <si>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</si>
  <si>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</si>
  <si>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</si>
  <si>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</si>
  <si>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</si>
  <si>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</si>
  <si>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</si>
  <si>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</si>
  <si>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</si>
  <si>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</si>
  <si>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</si>
  <si>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</si>
  <si>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</si>
  <si>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</si>
  <si>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</si>
  <si>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</si>
  <si>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</si>
  <si>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</si>
  <si>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</si>
  <si>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</si>
  <si>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</si>
  <si>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</si>
  <si>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</si>
  <si>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</si>
  <si>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</si>
  <si>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</si>
  <si>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</si>
  <si>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</si>
  <si>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</si>
  <si>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</si>
  <si>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</si>
  <si>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</si>
  <si>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</si>
  <si>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</si>
  <si>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</si>
  <si>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</si>
  <si>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</si>
  <si>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</si>
  <si>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</si>
  <si>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</si>
  <si>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</si>
  <si>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</si>
  <si>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</si>
  <si>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</si>
  <si>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</si>
  <si>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</si>
  <si>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</si>
  <si>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</si>
  <si>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</si>
  <si>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</si>
  <si>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</si>
  <si>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</si>
  <si>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</si>
  <si>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</si>
  <si>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</si>
  <si>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</si>
  <si>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</si>
  <si>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</si>
  <si>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</si>
  <si>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</si>
  <si>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</si>
  <si>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</si>
  <si>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</si>
  <si>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</si>
  <si>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</si>
  <si>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</si>
  <si>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</si>
  <si>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</si>
  <si>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</si>
  <si>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</si>
  <si>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</si>
  <si>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</si>
  <si>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</si>
  <si>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</si>
  <si>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</si>
  <si>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</si>
  <si>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</si>
  <si>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</si>
  <si>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</si>
  <si>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</si>
  <si>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</si>
  <si>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</si>
  <si>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</si>
  <si>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</si>
  <si>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</si>
  <si>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</si>
  <si>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</si>
  <si>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</si>
  <si>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</si>
  <si>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</si>
  <si>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</si>
  <si>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</si>
  <si>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</si>
  <si>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</si>
  <si>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</si>
  <si>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</si>
  <si>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</si>
  <si>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</si>
  <si>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</si>
  <si>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</si>
  <si>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</si>
  <si>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</si>
  <si>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</si>
  <si>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</si>
  <si>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</si>
  <si>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</si>
  <si>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</si>
  <si>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</si>
  <si>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</si>
  <si>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</si>
  <si>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</si>
  <si>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</si>
  <si>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</si>
  <si>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</si>
  <si>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</si>
  <si>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</si>
  <si>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</si>
  <si>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</si>
  <si>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</si>
  <si>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</si>
  <si>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</si>
  <si>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</si>
  <si>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</si>
  <si>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</si>
  <si>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</si>
  <si>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</si>
  <si>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</si>
  <si>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</si>
  <si>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</si>
  <si>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</si>
  <si>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</si>
  <si>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</si>
  <si>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</si>
  <si>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</si>
  <si>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</si>
  <si>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</si>
  <si>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</si>
  <si>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</si>
  <si>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</si>
  <si>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</si>
  <si>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</si>
  <si>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</si>
  <si>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</si>
  <si>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</si>
  <si>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</si>
  <si>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</si>
  <si>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</si>
  <si>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</si>
  <si>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</si>
  <si>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</si>
  <si>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</si>
  <si>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</si>
  <si>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</si>
  <si>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</si>
  <si>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</si>
  <si>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</si>
  <si>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</si>
  <si>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</si>
  <si>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</si>
  <si>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</si>
  <si>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</si>
  <si>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</si>
  <si>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</si>
  <si>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</si>
  <si>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</si>
  <si>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</si>
  <si>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</si>
  <si>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</si>
  <si>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</si>
  <si>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</si>
  <si>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</si>
  <si>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</si>
  <si>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</si>
  <si>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</si>
  <si>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</si>
  <si>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</si>
  <si>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</si>
  <si>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</si>
  <si>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</si>
  <si>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</si>
  <si>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</si>
  <si>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</si>
  <si>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</si>
  <si>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</si>
  <si>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</si>
  <si>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</si>
  <si>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</si>
  <si>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</si>
  <si>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</si>
  <si>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</si>
  <si>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</si>
  <si>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</si>
  <si>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</si>
  <si>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</si>
  <si>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</si>
  <si>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</si>
  <si>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</si>
  <si>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</si>
  <si>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</si>
  <si>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</si>
  <si>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</si>
  <si>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</si>
  <si>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</si>
  <si>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</si>
  <si>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</si>
  <si>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</si>
  <si>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</si>
  <si>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</si>
  <si>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</si>
  <si>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</si>
  <si>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</si>
  <si>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</si>
  <si>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</si>
  <si>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</si>
  <si>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</si>
  <si>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</si>
  <si>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</si>
  <si>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</si>
  <si>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</si>
  <si>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</si>
  <si>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</si>
  <si>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</si>
  <si>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</si>
  <si>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</si>
  <si>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</si>
  <si>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</si>
  <si>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</si>
  <si>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</si>
  <si>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</si>
  <si>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</si>
  <si>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</si>
  <si>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</si>
  <si>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</si>
  <si>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</si>
  <si>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</si>
  <si>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</si>
  <si>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</si>
  <si>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</si>
  <si>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</si>
  <si>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</si>
  <si>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</si>
  <si>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</si>
  <si>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</si>
  <si>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</si>
  <si>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</si>
  <si>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</si>
  <si>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</si>
  <si>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</si>
  <si>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</si>
  <si>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</si>
  <si>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</si>
  <si>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</si>
  <si>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</si>
  <si>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</si>
  <si>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</si>
  <si>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</si>
  <si>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</si>
  <si>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</si>
  <si>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</si>
  <si>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</si>
  <si>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</si>
  <si>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</si>
  <si>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</si>
  <si>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</si>
  <si>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</si>
  <si>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</si>
  <si>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</si>
  <si>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</si>
  <si>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</si>
  <si>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</si>
  <si>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</si>
  <si>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</si>
  <si>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</si>
  <si>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</si>
  <si>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</si>
  <si>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</si>
  <si>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</si>
  <si>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</si>
  <si>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</si>
  <si>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</si>
  <si>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</si>
  <si>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</si>
  <si>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</si>
  <si>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</si>
  <si>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</si>
  <si>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</si>
  <si>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</si>
  <si>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</si>
  <si>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</si>
  <si>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</si>
  <si>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</si>
  <si>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</si>
  <si>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</si>
  <si>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</si>
  <si>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</si>
  <si>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</si>
  <si>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</si>
  <si>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</si>
  <si>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</si>
  <si>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</si>
  <si>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</si>
  <si>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</si>
  <si>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</si>
  <si>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</si>
  <si>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</si>
  <si>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</si>
  <si>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</si>
  <si>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</si>
  <si>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</si>
  <si>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</si>
  <si>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</si>
  <si>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</si>
  <si>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</si>
  <si>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</si>
  <si>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</si>
  <si>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</si>
  <si>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</si>
  <si>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</si>
  <si>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</si>
  <si>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</si>
  <si>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</si>
  <si>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</si>
  <si>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</si>
  <si>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</si>
  <si>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</si>
  <si>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</si>
  <si>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</si>
  <si>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</si>
  <si>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</si>
  <si>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</si>
  <si>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</si>
  <si>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</si>
  <si>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</si>
  <si>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</si>
  <si>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</si>
  <si>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</si>
  <si>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</si>
  <si>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</si>
  <si>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</si>
  <si>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</si>
  <si>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</si>
  <si>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</si>
  <si>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</si>
  <si>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</si>
  <si>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</si>
  <si>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</si>
  <si>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</si>
  <si>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</si>
  <si>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</si>
  <si>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</si>
  <si>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</si>
  <si>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</si>
  <si>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</si>
  <si>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</si>
  <si>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</si>
  <si>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</si>
  <si>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</si>
  <si>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</si>
  <si>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</si>
  <si>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</si>
  <si>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</si>
  <si>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</si>
  <si>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</si>
  <si>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</si>
  <si>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</si>
  <si>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</si>
  <si>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</si>
  <si>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</si>
  <si>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</si>
  <si>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</si>
  <si>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</si>
  <si>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</si>
  <si>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</si>
  <si>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</si>
  <si>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</si>
  <si>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</si>
  <si>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</si>
  <si>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</si>
  <si>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</si>
  <si>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</si>
  <si>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</si>
  <si>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</si>
  <si>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</si>
  <si>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</si>
  <si>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</si>
  <si>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</si>
  <si>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</si>
  <si>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</si>
  <si>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</si>
  <si>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</si>
  <si>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</si>
  <si>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</si>
  <si>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</si>
  <si>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</si>
  <si>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</si>
  <si>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</si>
  <si>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</si>
  <si>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</si>
  <si>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</si>
  <si>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</si>
  <si>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</si>
  <si>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</si>
  <si>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</si>
  <si>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</si>
  <si>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</si>
  <si>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</si>
  <si>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</si>
  <si>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</si>
  <si>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</si>
  <si>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</si>
  <si>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</si>
  <si>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</si>
  <si>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</si>
  <si>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</si>
  <si>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</si>
  <si>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</si>
  <si>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</si>
  <si>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</si>
  <si>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</si>
  <si>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</si>
  <si>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</si>
  <si>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</si>
  <si>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</si>
  <si>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</si>
  <si>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</si>
  <si>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</si>
  <si>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</si>
  <si>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</si>
  <si>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</si>
  <si>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</si>
  <si>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</si>
  <si>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</si>
  <si>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</si>
  <si>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</si>
  <si>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</si>
  <si>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</si>
  <si>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</si>
  <si>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</si>
  <si>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</si>
  <si>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</si>
  <si>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</si>
  <si>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</si>
  <si>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</si>
  <si>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</si>
  <si>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</si>
  <si>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</si>
  <si>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</si>
  <si>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</si>
  <si>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</si>
  <si>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</si>
  <si>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</si>
  <si>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</si>
  <si>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</si>
  <si>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</si>
  <si>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</si>
  <si>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</si>
  <si>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</si>
  <si>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</si>
  <si>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</si>
  <si>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</si>
  <si>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</si>
  <si>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</si>
  <si>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</si>
  <si>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</si>
  <si>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</si>
  <si>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</si>
  <si>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</si>
  <si>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</si>
  <si>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</si>
  <si>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</si>
  <si>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</si>
  <si>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</si>
  <si>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</si>
  <si>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</si>
  <si>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</si>
  <si>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</si>
  <si>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</si>
  <si>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</si>
  <si>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</si>
  <si>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</si>
  <si>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</si>
  <si>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</si>
  <si>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</si>
  <si>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</si>
  <si>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</si>
  <si>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</si>
  <si>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</si>
  <si>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</si>
  <si>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</si>
  <si>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</si>
  <si>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</si>
  <si>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</si>
  <si>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</si>
  <si>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</si>
  <si>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</si>
  <si>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</si>
  <si>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</si>
  <si>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</si>
  <si>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</si>
  <si>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</si>
  <si>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</si>
  <si>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</si>
  <si>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</si>
  <si>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</si>
  <si>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</si>
  <si>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</si>
  <si>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</si>
  <si>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</si>
  <si>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</si>
  <si>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</si>
  <si>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</si>
  <si>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</si>
  <si>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</si>
  <si>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</si>
  <si>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</si>
  <si>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</si>
  <si>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</si>
  <si>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</si>
  <si>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</si>
  <si>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</si>
  <si>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</si>
  <si>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</si>
  <si>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</si>
  <si>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</si>
  <si>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</si>
  <si>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</si>
  <si>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</si>
  <si>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</si>
  <si>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</si>
  <si>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</si>
  <si>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</si>
  <si>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</si>
  <si>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</si>
  <si>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</si>
  <si>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</si>
  <si>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</si>
  <si>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</si>
  <si>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</si>
  <si>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</si>
  <si>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</si>
  <si>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</si>
  <si>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</si>
  <si>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</si>
  <si>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</si>
  <si>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</si>
  <si>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</si>
  <si>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</si>
  <si>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</si>
  <si>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</si>
  <si>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</si>
  <si>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</si>
  <si>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</si>
  <si>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</si>
  <si>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</si>
  <si>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</si>
  <si>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</si>
  <si>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</si>
  <si>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</si>
  <si>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</si>
  <si>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</si>
  <si>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</si>
  <si>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</si>
  <si>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</si>
  <si>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</si>
  <si>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</si>
  <si>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</si>
  <si>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</si>
  <si>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</si>
  <si>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</si>
  <si>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</si>
  <si>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</si>
  <si>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</si>
  <si>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</si>
  <si>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</si>
  <si>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</si>
  <si>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</si>
  <si>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</si>
  <si>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</si>
  <si>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</si>
  <si>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</si>
  <si>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</si>
  <si>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</si>
  <si>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</si>
  <si>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</si>
  <si>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</si>
  <si>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</si>
  <si>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</si>
  <si>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</si>
  <si>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</si>
  <si>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</si>
  <si>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</si>
  <si>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</si>
  <si>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</si>
  <si>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</si>
  <si>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</si>
  <si>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</si>
  <si>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</si>
  <si>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</si>
  <si>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</si>
  <si>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</si>
  <si>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</si>
  <si>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</si>
  <si>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</si>
  <si>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</si>
  <si>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</si>
  <si>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</si>
  <si>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</si>
  <si>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</si>
  <si>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</si>
  <si>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</si>
  <si>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</si>
  <si>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</si>
  <si>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</si>
  <si>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</si>
  <si>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</si>
  <si>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</si>
  <si>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</si>
  <si>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</si>
  <si>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</si>
  <si>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</si>
  <si>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</si>
  <si>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</si>
  <si>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</si>
  <si>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</si>
  <si>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</si>
  <si>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</si>
  <si>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</si>
  <si>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</si>
  <si>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</si>
  <si>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</si>
  <si>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</si>
  <si>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</si>
  <si>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</si>
  <si>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</si>
  <si>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</si>
  <si>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</si>
  <si>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</si>
  <si>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</si>
  <si>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</si>
  <si>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</si>
  <si>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</si>
  <si>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</si>
  <si>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</si>
  <si>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</si>
  <si>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</si>
  <si>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</si>
  <si>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</si>
  <si>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</si>
  <si>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</si>
  <si>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</si>
  <si>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</si>
  <si>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</si>
  <si>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</si>
  <si>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</si>
  <si>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</si>
  <si>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</si>
  <si>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</si>
  <si>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</si>
  <si>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</si>
  <si>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</si>
  <si>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</si>
  <si>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</si>
  <si>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</si>
  <si>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</si>
  <si>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</si>
  <si>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</si>
  <si>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</si>
  <si>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</si>
  <si>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</si>
  <si>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</si>
  <si>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</si>
  <si>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</si>
  <si>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</si>
  <si>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</si>
  <si>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</si>
  <si>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</si>
  <si>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</si>
  <si>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</si>
  <si>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</si>
  <si>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</si>
  <si>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</si>
  <si>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</si>
  <si>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</si>
  <si>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</si>
  <si>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</si>
  <si>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</si>
  <si>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</si>
  <si>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</si>
  <si>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</si>
  <si>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</si>
  <si>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</si>
  <si>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</si>
  <si>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</si>
  <si>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</si>
  <si>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</si>
  <si>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</si>
  <si>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</si>
  <si>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</si>
  <si>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</si>
  <si>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</si>
  <si>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</si>
  <si>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</si>
  <si>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</si>
  <si>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</si>
  <si>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</si>
  <si>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</si>
  <si>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</si>
  <si>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</si>
  <si>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</si>
  <si>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</si>
  <si>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</si>
  <si>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</si>
  <si>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</si>
  <si>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</si>
  <si>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</si>
  <si>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</si>
  <si>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</si>
  <si>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</si>
  <si>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</si>
  <si>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</si>
  <si>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</si>
  <si>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</si>
  <si>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</si>
  <si>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</si>
  <si>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</si>
  <si>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</si>
  <si>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</si>
  <si>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</si>
  <si>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</si>
  <si>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</si>
  <si>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</si>
  <si>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</si>
  <si>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</si>
  <si>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</si>
  <si>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</si>
  <si>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</si>
  <si>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</si>
  <si>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</si>
  <si>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</si>
  <si>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</si>
  <si>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</si>
  <si>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</si>
  <si>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</si>
  <si>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</si>
  <si>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</si>
  <si>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</si>
  <si>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</si>
  <si>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</si>
  <si>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</si>
  <si>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</si>
  <si>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</si>
  <si>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</si>
  <si>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</si>
  <si>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</si>
  <si>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</si>
  <si>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</si>
  <si>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</si>
  <si>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</si>
  <si>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</si>
  <si>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</si>
  <si>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</si>
  <si>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</si>
  <si>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</si>
  <si>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</si>
  <si>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</si>
  <si>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</si>
  <si>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</si>
  <si>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</si>
  <si>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</si>
  <si>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</si>
  <si>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</si>
  <si>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</si>
  <si>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</si>
  <si>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</si>
  <si>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</si>
  <si>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</si>
  <si>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</si>
  <si>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</si>
  <si>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</si>
  <si>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</si>
  <si>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</si>
  <si>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</si>
  <si>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</si>
  <si>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</si>
  <si>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</si>
  <si>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</si>
  <si>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</si>
  <si>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</si>
  <si>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</si>
  <si>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</si>
  <si>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</si>
  <si>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</si>
  <si>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</si>
  <si>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</si>
  <si>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</si>
  <si>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</si>
  <si>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</si>
  <si>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</si>
  <si>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</si>
  <si>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</si>
  <si>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</si>
  <si>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</si>
  <si>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</si>
  <si>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</si>
  <si>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</si>
  <si>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</si>
  <si>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</si>
  <si>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</si>
  <si>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</si>
  <si>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</si>
  <si>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</si>
  <si>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</si>
  <si>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</si>
  <si>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</si>
  <si>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</si>
  <si>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</si>
  <si>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</si>
  <si>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</si>
  <si>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</si>
  <si>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</si>
  <si>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</si>
  <si>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</si>
  <si>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</si>
  <si>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</si>
  <si>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</si>
  <si>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</si>
  <si>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</si>
  <si>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</si>
  <si>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</si>
  <si>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</si>
  <si>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</si>
  <si>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</si>
  <si>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</si>
  <si>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</si>
  <si>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</si>
  <si>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</si>
  <si>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</si>
  <si>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</si>
  <si>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</si>
  <si>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</si>
  <si>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</si>
  <si>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</si>
  <si>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</si>
  <si>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</si>
  <si>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</si>
  <si>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</si>
  <si>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</si>
  <si>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</si>
  <si>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</si>
  <si>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</si>
  <si>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</si>
  <si>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</si>
  <si>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</si>
  <si>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</si>
  <si>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</si>
  <si>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</si>
  <si>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</si>
  <si>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</si>
  <si>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</si>
  <si>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</si>
  <si>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</si>
  <si>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</si>
  <si>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</si>
  <si>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</si>
  <si>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</si>
  <si>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</si>
  <si>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</si>
  <si>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</si>
  <si>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</si>
  <si>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</si>
  <si>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</si>
  <si>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</si>
  <si>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</si>
  <si>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</si>
  <si>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</si>
  <si>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</si>
  <si>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</si>
  <si>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</si>
  <si>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</si>
  <si>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</si>
  <si>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</si>
  <si>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</si>
  <si>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</si>
  <si>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</si>
  <si>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</si>
  <si>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</si>
  <si>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</si>
  <si>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</si>
  <si>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</si>
  <si>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</si>
  <si>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</si>
  <si>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</si>
  <si>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</si>
  <si>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</si>
  <si>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</si>
  <si>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</si>
  <si>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</si>
  <si>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</si>
  <si>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</si>
  <si>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</si>
  <si>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</si>
  <si>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</si>
  <si>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</si>
  <si>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</si>
  <si>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</si>
  <si>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</si>
  <si>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</si>
  <si>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</si>
  <si>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</si>
  <si>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</si>
  <si>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</si>
  <si>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</si>
  <si>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</si>
  <si>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</si>
  <si>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</si>
  <si>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</si>
  <si>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</si>
  <si>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</si>
  <si>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</si>
  <si>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</si>
  <si>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</si>
  <si>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</si>
  <si>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</si>
  <si>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</si>
  <si>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</si>
  <si>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</si>
  <si>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</si>
  <si>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</si>
  <si>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</si>
  <si>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</si>
  <si>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</si>
  <si>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</si>
  <si>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</si>
  <si>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</si>
  <si>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</si>
  <si>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</si>
  <si>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</si>
  <si>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</si>
  <si>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</si>
  <si>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</si>
  <si>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</si>
  <si>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</si>
  <si>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</si>
  <si>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</si>
  <si>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</si>
  <si>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</si>
  <si>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</si>
  <si>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</si>
  <si>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</si>
  <si>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</si>
  <si>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</si>
  <si>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</si>
  <si>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</si>
  <si>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</si>
  <si>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</si>
  <si>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</si>
  <si>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</si>
  <si>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</si>
  <si>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</si>
  <si>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</si>
  <si>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</si>
  <si>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</si>
  <si>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</si>
  <si>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</si>
  <si>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</si>
  <si>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</si>
  <si>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</si>
  <si>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</si>
  <si>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</si>
  <si>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</si>
  <si>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</si>
  <si>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</si>
  <si>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</si>
  <si>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</si>
  <si>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</si>
  <si>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</si>
  <si>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</si>
  <si>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</si>
  <si>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</si>
  <si>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</si>
  <si>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</si>
  <si>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</si>
  <si>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</si>
  <si>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</si>
  <si>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</si>
  <si>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</si>
  <si>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</si>
  <si>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</si>
  <si>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</si>
  <si>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</si>
  <si>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</si>
  <si>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</si>
  <si>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</si>
  <si>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</si>
  <si>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</si>
  <si>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</si>
  <si>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</si>
  <si>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</si>
  <si>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</si>
  <si>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</si>
  <si>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</si>
  <si>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</si>
  <si>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</si>
  <si>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</si>
  <si>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</si>
  <si>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</si>
  <si>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</si>
  <si>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</si>
  <si>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</si>
  <si>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</si>
  <si>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</si>
  <si>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</si>
  <si>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</si>
  <si>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</si>
  <si>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</si>
  <si>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</si>
  <si>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</si>
  <si>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</si>
  <si>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</si>
  <si>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</si>
  <si>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</si>
  <si>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</si>
  <si>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</si>
  <si>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</si>
  <si>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</si>
  <si>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</si>
  <si>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</si>
  <si>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</si>
  <si>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</si>
  <si>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</si>
  <si>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</si>
  <si>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</si>
  <si>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</si>
  <si>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</si>
  <si>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</si>
  <si>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</si>
  <si>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</si>
  <si>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</si>
  <si>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</si>
  <si>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</si>
  <si>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</si>
  <si>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</si>
  <si>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</si>
  <si>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</si>
  <si>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</si>
  <si>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</si>
  <si>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</si>
  <si>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</si>
  <si>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</si>
  <si>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</si>
  <si>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</si>
  <si>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</si>
  <si>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</si>
  <si>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</si>
  <si>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</si>
  <si>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</si>
  <si>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</si>
  <si>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</si>
  <si>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</si>
  <si>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</si>
  <si>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</si>
  <si>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</si>
  <si>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</si>
  <si>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</si>
  <si>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</si>
  <si>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</si>
  <si>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</si>
  <si>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</si>
  <si>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</si>
  <si>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</si>
  <si>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</si>
  <si>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</si>
  <si>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</si>
  <si>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</si>
  <si>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</si>
  <si>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</si>
  <si>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</si>
  <si>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</si>
  <si>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</si>
  <si>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</si>
  <si>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</si>
  <si>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</si>
  <si>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</si>
  <si>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</si>
  <si>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</si>
  <si>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</si>
  <si>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</si>
  <si>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</si>
  <si>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</si>
  <si>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</si>
  <si>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</si>
  <si>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</si>
  <si>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</si>
  <si>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</si>
  <si>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</si>
  <si>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</si>
  <si>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</si>
  <si>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</si>
  <si>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</si>
  <si>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</si>
  <si>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</si>
  <si>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</si>
  <si>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</si>
  <si>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</si>
  <si>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</si>
  <si>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</si>
  <si>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</si>
  <si>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</si>
  <si>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</si>
  <si>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</si>
  <si>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</si>
  <si>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</si>
  <si>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</si>
  <si>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</si>
  <si>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</si>
  <si>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</si>
  <si>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</si>
  <si>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</si>
  <si>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</si>
  <si>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</si>
  <si>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</si>
  <si>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</si>
  <si>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</si>
  <si>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</si>
  <si>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</si>
  <si>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</si>
  <si>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</si>
  <si>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</si>
  <si>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</si>
  <si>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</si>
  <si>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</si>
  <si>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</si>
  <si>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</si>
  <si>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</si>
  <si>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</si>
  <si>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</si>
  <si>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</si>
  <si>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</si>
  <si>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</si>
  <si>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</si>
  <si>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</si>
  <si>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</si>
  <si>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</si>
  <si>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</si>
  <si>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</si>
  <si>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</si>
  <si>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</si>
  <si>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</si>
  <si>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</si>
  <si>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</si>
  <si>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</si>
  <si>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</si>
  <si>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</si>
  <si>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</si>
  <si>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</si>
  <si>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</si>
  <si>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</si>
  <si>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</si>
  <si>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</si>
  <si>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</si>
  <si>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</si>
  <si>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</si>
  <si>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</si>
  <si>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</si>
  <si>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</si>
  <si>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</si>
  <si>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</si>
  <si>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</si>
  <si>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</si>
  <si>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</si>
  <si>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</si>
  <si>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</si>
  <si>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</si>
  <si>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</si>
  <si>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</si>
  <si>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</si>
  <si>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</si>
  <si>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</si>
  <si>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</si>
  <si>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</si>
  <si>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</si>
  <si>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</si>
  <si>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</si>
  <si>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</si>
  <si>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</si>
  <si>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</si>
  <si>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</si>
  <si>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</si>
  <si>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</si>
  <si>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</si>
  <si>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</si>
  <si>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</si>
  <si>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</si>
  <si>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</si>
  <si>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</si>
  <si>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</si>
  <si>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</si>
  <si>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</si>
  <si>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</si>
  <si>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</si>
  <si>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</si>
  <si>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</si>
  <si>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</si>
  <si>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</si>
  <si>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</si>
  <si>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</si>
  <si>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</si>
  <si>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</si>
  <si>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</si>
  <si>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</si>
  <si>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</si>
  <si>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</si>
  <si>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</si>
  <si>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</si>
  <si>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</si>
  <si>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</si>
  <si>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</si>
  <si>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</si>
  <si>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</si>
  <si>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</si>
  <si>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</si>
  <si>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</si>
  <si>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</si>
  <si>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</si>
  <si>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</si>
  <si>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</si>
  <si>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</si>
  <si>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</si>
  <si>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</si>
  <si>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</si>
  <si>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</si>
  <si>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</si>
  <si>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</si>
  <si>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</si>
  <si>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</si>
  <si>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</si>
  <si>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</si>
  <si>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</si>
  <si>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</si>
  <si>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</si>
  <si>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</si>
  <si>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</si>
  <si>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</si>
  <si>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</si>
  <si>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</si>
  <si>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</si>
  <si>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</si>
  <si>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</si>
  <si>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</si>
  <si>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</si>
  <si>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</si>
  <si>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</si>
  <si>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</si>
  <si>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</si>
  <si>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</si>
  <si>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</si>
  <si>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</si>
  <si>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</si>
  <si>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</si>
  <si>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</si>
  <si>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</si>
  <si>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</si>
  <si>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</si>
  <si>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</si>
  <si>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</si>
  <si>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</si>
  <si>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</si>
  <si>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</si>
  <si>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</si>
  <si>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</si>
  <si>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</si>
  <si>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</si>
  <si>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</si>
  <si>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</si>
  <si>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</si>
  <si>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</si>
  <si>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</si>
  <si>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</si>
  <si>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</si>
  <si>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</si>
  <si>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</si>
  <si>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</si>
  <si>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</si>
  <si>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</si>
  <si>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</si>
  <si>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</si>
  <si>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</si>
  <si>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</si>
  <si>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</si>
  <si>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</si>
  <si>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</si>
  <si>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</si>
  <si>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</si>
  <si>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</si>
  <si>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</si>
  <si>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</si>
  <si>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</si>
  <si>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</si>
  <si>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</si>
  <si>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</si>
  <si>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</si>
  <si>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</si>
  <si>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</si>
  <si>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</si>
  <si>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</si>
  <si>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</si>
  <si>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</si>
  <si>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</si>
  <si>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</si>
  <si>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</si>
  <si>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</si>
  <si>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</si>
  <si>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</si>
  <si>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</si>
  <si>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</si>
  <si>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</si>
  <si>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</si>
  <si>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</si>
  <si>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</si>
  <si>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</si>
  <si>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</si>
  <si>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</si>
  <si>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</si>
  <si>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</si>
  <si>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</si>
  <si>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</si>
  <si>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</si>
  <si>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</si>
  <si>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</si>
  <si>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</si>
  <si>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</si>
  <si>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</si>
  <si>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</si>
  <si>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</si>
  <si>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</si>
  <si>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</si>
  <si>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</si>
  <si>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</si>
  <si>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</si>
  <si>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</si>
  <si>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</si>
  <si>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</si>
  <si>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</si>
  <si>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</si>
  <si>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</si>
  <si>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</si>
  <si>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</si>
  <si>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</si>
  <si>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</si>
  <si>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</si>
  <si>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</si>
  <si>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</si>
  <si>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</si>
  <si>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</si>
  <si>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</si>
  <si>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</si>
  <si>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</si>
  <si>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</si>
  <si>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</si>
  <si>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</si>
  <si>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</si>
  <si>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</si>
  <si>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</si>
  <si>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</si>
  <si>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</si>
  <si>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</si>
  <si>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</si>
  <si>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</si>
  <si>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</si>
  <si>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</si>
  <si>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</si>
  <si>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</si>
  <si>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</si>
  <si>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</si>
  <si>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</si>
  <si>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</si>
  <si>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</si>
  <si>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</si>
  <si>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</si>
  <si>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</si>
  <si>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</si>
  <si>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</si>
  <si>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</si>
  <si>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</si>
  <si>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</si>
  <si>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</si>
  <si>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</si>
  <si>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</si>
  <si>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</si>
  <si>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</si>
  <si>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</si>
  <si>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</si>
  <si>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</si>
  <si>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</si>
  <si>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</si>
  <si>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</si>
  <si>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</si>
  <si>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</si>
  <si>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</si>
  <si>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</si>
  <si>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</si>
  <si>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</si>
  <si>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</si>
  <si>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</si>
  <si>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</si>
  <si>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</si>
  <si>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</si>
  <si>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</si>
  <si>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</si>
  <si>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</si>
  <si>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</si>
  <si>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</si>
  <si>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</si>
  <si>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</si>
  <si>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</si>
  <si>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</si>
  <si>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</si>
  <si>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</si>
  <si>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</si>
  <si>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</si>
  <si>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</si>
  <si>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</si>
  <si>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</si>
  <si>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</si>
  <si>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</si>
  <si>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</si>
  <si>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</si>
  <si>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</si>
  <si>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</si>
  <si>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</si>
  <si>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</si>
  <si>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</si>
  <si>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</si>
  <si>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</si>
  <si>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</si>
  <si>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</si>
  <si>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</si>
  <si>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</si>
  <si>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</si>
  <si>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</si>
  <si>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</si>
  <si>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</si>
  <si>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</si>
  <si>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</si>
  <si>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</si>
  <si>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</si>
  <si>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</si>
  <si>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</si>
  <si>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</si>
  <si>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</si>
  <si>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</si>
  <si>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</si>
  <si>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</si>
  <si>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</si>
  <si>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</si>
  <si>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</si>
  <si>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</si>
  <si>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</si>
  <si>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</si>
  <si>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</si>
  <si>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</si>
  <si>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</si>
  <si>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</si>
  <si>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</si>
  <si>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</si>
  <si>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</si>
  <si>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</si>
  <si>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</si>
  <si>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</si>
  <si>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</si>
  <si>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</si>
  <si>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</si>
  <si>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</si>
  <si>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</si>
  <si>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</si>
  <si>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</si>
  <si>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</si>
  <si>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</si>
  <si>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</si>
  <si>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</si>
  <si>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</si>
  <si>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</si>
  <si>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</si>
  <si>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</si>
  <si>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</si>
  <si>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</si>
  <si>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</si>
  <si>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</si>
  <si>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</si>
  <si>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</si>
  <si>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</si>
  <si>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</si>
  <si>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</si>
  <si>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</si>
  <si>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</si>
  <si>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</si>
  <si>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</si>
  <si>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</si>
  <si>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</si>
  <si>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</si>
  <si>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</si>
  <si>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</si>
  <si>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</si>
  <si>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</si>
  <si>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</si>
  <si>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</si>
  <si>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</si>
  <si>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</si>
  <si>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</si>
  <si>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</si>
  <si>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</si>
  <si>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</si>
  <si>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</si>
  <si>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</si>
  <si>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</si>
  <si>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</si>
  <si>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</si>
  <si>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</si>
  <si>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</si>
  <si>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</si>
  <si>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</si>
  <si>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</si>
  <si>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</si>
  <si>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</si>
  <si>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</si>
  <si>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</si>
  <si>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</si>
  <si>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</si>
  <si>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</si>
  <si>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</si>
  <si>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</si>
  <si>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</si>
  <si>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</si>
  <si>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</si>
  <si>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</si>
  <si>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</si>
  <si>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</si>
  <si>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</si>
  <si>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</si>
  <si>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</si>
  <si>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</si>
  <si>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</si>
  <si>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</si>
  <si>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</si>
  <si>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</si>
  <si>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</si>
  <si>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</si>
  <si>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</si>
  <si>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</si>
  <si>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</si>
  <si>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</si>
  <si>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</si>
  <si>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</si>
  <si>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</si>
  <si>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</si>
  <si>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</si>
  <si>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</si>
  <si>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</si>
  <si>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</si>
  <si>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</si>
  <si>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</si>
  <si>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</si>
  <si>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</si>
  <si>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</si>
  <si>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</si>
  <si>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</si>
  <si>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</si>
  <si>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</si>
  <si>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</si>
  <si>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</si>
  <si>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</si>
  <si>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</si>
  <si>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</si>
  <si>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</si>
  <si>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</si>
  <si>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</si>
  <si>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</si>
  <si>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</si>
  <si>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</si>
  <si>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</si>
  <si>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</si>
  <si>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</si>
  <si>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</si>
  <si>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</si>
  <si>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</si>
  <si>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</si>
  <si>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</si>
  <si>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</si>
  <si>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</si>
  <si>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</si>
  <si>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</si>
  <si>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</si>
  <si>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</si>
  <si>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</si>
  <si>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</si>
  <si>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</si>
  <si>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</si>
  <si>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</si>
  <si>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</si>
  <si>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</si>
  <si>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</si>
  <si>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</si>
  <si>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</si>
  <si>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</si>
  <si>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</si>
  <si>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</si>
  <si>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</si>
  <si>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</si>
  <si>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</si>
  <si>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</si>
  <si>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</si>
  <si>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</si>
  <si>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</si>
  <si>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</si>
  <si>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</si>
  <si>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</si>
  <si>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</si>
  <si>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</si>
  <si>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</si>
  <si>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</si>
  <si>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</si>
  <si>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</si>
  <si>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</si>
  <si>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</si>
  <si>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</si>
  <si>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</si>
  <si>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</si>
  <si>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</si>
  <si>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</si>
  <si>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</si>
  <si>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</si>
  <si>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</si>
  <si>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</si>
  <si>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</si>
  <si>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</si>
  <si>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</si>
  <si>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</si>
  <si>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</si>
  <si>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</si>
  <si>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</si>
  <si>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</si>
  <si>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</si>
  <si>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</si>
  <si>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</si>
  <si>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</si>
  <si>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</si>
  <si>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</si>
  <si>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</si>
  <si>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</si>
  <si>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</si>
  <si>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</si>
  <si>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</si>
  <si>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</si>
  <si>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</si>
  <si>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</si>
  <si>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</si>
  <si>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</si>
  <si>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</si>
  <si>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</si>
  <si>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</si>
  <si>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</si>
  <si>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</si>
  <si>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</si>
  <si>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</si>
  <si>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</si>
  <si>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</si>
  <si>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</si>
  <si>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</si>
  <si>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</si>
  <si>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</si>
  <si>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</si>
  <si>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</si>
  <si>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</si>
  <si>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</si>
  <si>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</si>
  <si>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</si>
  <si>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</si>
  <si>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</si>
  <si>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</si>
  <si>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</si>
  <si>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</si>
  <si>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</si>
  <si>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</si>
  <si>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</si>
  <si>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</si>
  <si>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</si>
  <si>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</si>
  <si>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</si>
  <si>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</si>
  <si>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</si>
  <si>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</si>
  <si>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</si>
  <si>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</si>
  <si>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</si>
  <si>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</si>
  <si>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</si>
  <si>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</si>
  <si>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</si>
  <si>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</si>
  <si>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</si>
  <si>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</si>
  <si>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</si>
  <si>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</si>
  <si>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</si>
  <si>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</si>
  <si>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</si>
  <si>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</si>
  <si>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</si>
  <si>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</si>
  <si>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</si>
  <si>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</si>
  <si>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</si>
  <si>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</si>
  <si>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</si>
  <si>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</si>
  <si>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</si>
  <si>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</si>
  <si>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</si>
  <si>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</si>
  <si>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</si>
  <si>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</si>
  <si>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</si>
  <si>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</si>
  <si>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</si>
  <si>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</si>
  <si>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</si>
  <si>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</si>
  <si>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</si>
  <si>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</si>
  <si>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</si>
  <si>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</si>
  <si>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</si>
  <si>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</si>
  <si>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</si>
  <si>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</si>
  <si>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</si>
  <si>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</si>
  <si>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</si>
  <si>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</si>
  <si>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</si>
  <si>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</si>
  <si>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</si>
  <si>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</si>
  <si>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</si>
  <si>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</si>
  <si>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</si>
  <si>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</si>
  <si>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</si>
  <si>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</si>
  <si>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</si>
  <si>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</si>
  <si>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</si>
  <si>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</si>
  <si>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</si>
  <si>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</si>
  <si>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</si>
  <si>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</si>
  <si>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</si>
  <si>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</si>
  <si>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</si>
  <si>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</si>
  <si>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</si>
  <si>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</si>
  <si>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</si>
  <si>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</si>
  <si>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</si>
  <si>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</si>
  <si>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</si>
  <si>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</si>
  <si>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</si>
  <si>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</si>
  <si>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</si>
  <si>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</si>
  <si>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</si>
  <si>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</si>
  <si>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</si>
  <si>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</si>
  <si>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</si>
  <si>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</si>
  <si>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</si>
  <si>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</si>
  <si>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</si>
  <si>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</si>
  <si>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</si>
  <si>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</si>
  <si>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</si>
  <si>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</si>
  <si>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</si>
  <si>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</si>
  <si>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</si>
  <si>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</si>
  <si>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</si>
  <si>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</si>
  <si>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</si>
  <si>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</si>
  <si>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</si>
  <si>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</si>
  <si>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</si>
  <si>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</si>
  <si>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</si>
  <si>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</si>
  <si>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</si>
  <si>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</si>
  <si>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</si>
  <si>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</si>
  <si>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</si>
  <si>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</si>
  <si>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</si>
  <si>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</si>
  <si>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</si>
  <si>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</si>
  <si>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</si>
  <si>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</si>
  <si>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</si>
  <si>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</si>
  <si>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</si>
  <si>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</si>
  <si>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</si>
  <si>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</si>
  <si>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</si>
  <si>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</si>
  <si>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</si>
  <si>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</si>
  <si>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</si>
  <si>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</si>
  <si>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</si>
  <si>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</si>
  <si>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</si>
  <si>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</si>
  <si>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</si>
  <si>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</si>
  <si>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</si>
  <si>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</si>
  <si>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</si>
  <si>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</si>
  <si>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</si>
  <si>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</si>
  <si>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</si>
  <si>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</si>
  <si>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</si>
  <si>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</si>
  <si>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</si>
  <si>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</si>
  <si>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</si>
  <si>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</si>
  <si>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</si>
  <si>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</si>
  <si>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</si>
  <si>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</si>
  <si>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</si>
  <si>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</si>
  <si>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</si>
  <si>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</si>
  <si>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</si>
  <si>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</si>
  <si>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</si>
  <si>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</si>
  <si>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</si>
  <si>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</si>
  <si>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</si>
  <si>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</si>
  <si>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</si>
  <si>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</si>
  <si>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</si>
  <si>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</si>
  <si>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</si>
  <si>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</si>
  <si>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</si>
  <si>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</si>
  <si>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</si>
  <si>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</si>
  <si>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</si>
  <si>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</si>
  <si>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</si>
  <si>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</si>
  <si>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</si>
  <si>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</si>
  <si>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</si>
  <si>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</si>
  <si>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</si>
  <si>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</si>
  <si>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</si>
  <si>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</si>
  <si>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</si>
  <si>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</si>
  <si>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</si>
  <si>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</si>
  <si>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</si>
  <si>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</si>
  <si>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</si>
  <si>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</si>
  <si>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</si>
  <si>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</si>
  <si>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</si>
  <si>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</si>
  <si>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</si>
  <si>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</si>
  <si>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</si>
  <si>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</si>
  <si>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</si>
  <si>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</si>
  <si>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</si>
  <si>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</si>
  <si>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</si>
  <si>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</si>
  <si>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</si>
  <si>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</si>
  <si>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</si>
  <si>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</si>
  <si>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</si>
  <si>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</si>
  <si>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</si>
  <si>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</si>
  <si>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</si>
  <si>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</si>
  <si>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</si>
  <si>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</si>
  <si>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</si>
  <si>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</si>
  <si>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</si>
  <si>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</si>
  <si>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</si>
  <si>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</si>
  <si>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</si>
  <si>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</si>
  <si>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</si>
  <si>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</si>
  <si>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</si>
  <si>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</si>
  <si>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</si>
  <si>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</si>
  <si>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</si>
  <si>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</si>
  <si>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</si>
  <si>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</si>
  <si>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</si>
  <si>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</si>
  <si>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</si>
  <si>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</si>
  <si>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</si>
  <si>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</si>
  <si>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</si>
  <si>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</si>
  <si>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</si>
  <si>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</si>
  <si>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</si>
  <si>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</si>
  <si>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</si>
  <si>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</si>
  <si>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</si>
  <si>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</si>
  <si>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</si>
  <si>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</si>
  <si>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</si>
  <si>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</si>
  <si>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</si>
  <si>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</si>
  <si>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</si>
  <si>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</si>
  <si>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</si>
  <si>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</si>
  <si>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</si>
  <si>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</si>
  <si>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</si>
  <si>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</si>
  <si>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</si>
  <si>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</si>
  <si>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</si>
  <si>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</si>
  <si>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</si>
  <si>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</si>
  <si>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</si>
  <si>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</si>
  <si>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</si>
  <si>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</si>
  <si>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</si>
  <si>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</si>
  <si>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</si>
  <si>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</si>
  <si>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</si>
  <si>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</si>
  <si>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</si>
  <si>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</si>
  <si>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</si>
  <si>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</si>
  <si>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</si>
  <si>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</si>
  <si>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</si>
  <si>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</si>
  <si>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</si>
  <si>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</si>
  <si>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</si>
  <si>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</si>
  <si>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</si>
  <si>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</si>
  <si>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</si>
  <si>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</si>
  <si>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</si>
  <si>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</si>
  <si>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</si>
  <si>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</si>
  <si>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</si>
  <si>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</si>
  <si>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</si>
  <si>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</si>
  <si>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</si>
  <si>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</si>
  <si>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</si>
  <si>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</si>
  <si>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</si>
  <si>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</si>
  <si>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</si>
  <si>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</si>
  <si>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</si>
  <si>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</si>
  <si>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</si>
  <si>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</si>
  <si>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</si>
  <si>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</si>
  <si>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</si>
  <si>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</si>
  <si>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</si>
  <si>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</si>
  <si>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</si>
  <si>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</si>
  <si>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</si>
  <si>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</si>
  <si>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</si>
  <si>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</si>
  <si>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</si>
  <si>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</si>
  <si>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</si>
  <si>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</si>
  <si>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</si>
  <si>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</si>
  <si>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</si>
  <si>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</si>
  <si>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</si>
  <si>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</si>
  <si>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</si>
  <si>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</si>
  <si>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</si>
  <si>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</si>
  <si>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</si>
  <si>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</si>
  <si>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</si>
  <si>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</si>
  <si>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</si>
  <si>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</si>
  <si>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</si>
  <si>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</si>
  <si>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</si>
  <si>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</si>
  <si>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</si>
  <si>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</si>
  <si>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</si>
  <si>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</si>
  <si>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</si>
  <si>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</si>
  <si>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</si>
  <si>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</si>
  <si>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</si>
  <si>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</si>
  <si>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</si>
  <si>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</si>
  <si>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</si>
  <si>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</si>
  <si>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</si>
  <si>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</si>
  <si>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</si>
  <si>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</si>
  <si>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</si>
  <si>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</si>
  <si>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</si>
  <si>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</si>
  <si>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</si>
  <si>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</si>
  <si>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</si>
  <si>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</si>
  <si>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</si>
  <si>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</si>
  <si>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</si>
  <si>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</si>
  <si>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</si>
  <si>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</si>
  <si>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</si>
  <si>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</si>
  <si>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</si>
  <si>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</si>
  <si>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</si>
  <si>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</si>
  <si>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</si>
  <si>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</si>
  <si>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</si>
  <si>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</si>
  <si>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</si>
  <si>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</si>
  <si>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</si>
  <si>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</si>
  <si>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</si>
  <si>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</si>
  <si>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</si>
  <si>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</si>
  <si>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</si>
  <si>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</si>
  <si>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</si>
  <si>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</si>
  <si>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</si>
  <si>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</si>
  <si>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</si>
  <si>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</si>
  <si>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</si>
  <si>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</si>
  <si>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</si>
  <si>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</si>
  <si>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</si>
  <si>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</si>
  <si>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</si>
  <si>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</si>
  <si>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</si>
  <si>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</si>
  <si>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</si>
  <si>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</si>
  <si>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</si>
  <si>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</si>
  <si>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</si>
  <si>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</si>
  <si>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</si>
  <si>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</si>
  <si>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</si>
  <si>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</si>
  <si>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</si>
  <si>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</si>
  <si>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</si>
  <si>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</si>
  <si>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</si>
  <si>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</si>
  <si>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</si>
  <si>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</si>
  <si>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</si>
  <si>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</si>
  <si>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</si>
  <si>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</si>
  <si>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</si>
  <si>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</si>
  <si>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</si>
  <si>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</si>
  <si>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</si>
  <si>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</si>
  <si>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</si>
  <si>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</si>
  <si>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</si>
  <si>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</si>
  <si>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</si>
  <si>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</si>
  <si>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</si>
  <si>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</si>
  <si>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</si>
  <si>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</si>
  <si>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</si>
  <si>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</si>
  <si>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</si>
  <si>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</si>
  <si>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</si>
  <si>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</si>
  <si>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</si>
  <si>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</si>
  <si>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</si>
  <si>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</si>
  <si>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</si>
  <si>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</si>
  <si>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</si>
  <si>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</si>
  <si>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</si>
  <si>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</si>
  <si>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</si>
  <si>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</si>
  <si>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</si>
  <si>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</si>
  <si>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</si>
  <si>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</si>
  <si>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</si>
  <si>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</si>
  <si>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</si>
  <si>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</si>
  <si>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</si>
  <si>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</si>
  <si>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</si>
  <si>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</si>
  <si>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</si>
  <si>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</si>
  <si>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</si>
  <si>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</si>
  <si>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</si>
  <si>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</si>
  <si>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</si>
  <si>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</si>
  <si>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</si>
  <si>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</si>
  <si>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</si>
  <si>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</si>
  <si>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</si>
  <si>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</si>
  <si>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</si>
  <si>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</si>
  <si>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</si>
  <si>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</si>
  <si>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</si>
  <si>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</si>
  <si>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</si>
  <si>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</si>
  <si>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</si>
  <si>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</si>
  <si>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</si>
  <si>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</si>
  <si>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</si>
  <si>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</si>
  <si>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</si>
  <si>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</si>
  <si>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</si>
  <si>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</si>
  <si>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</si>
  <si>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</si>
  <si>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</si>
  <si>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</si>
  <si>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</si>
  <si>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</si>
  <si>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</si>
  <si>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</si>
  <si>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</si>
  <si>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</si>
  <si>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</si>
  <si>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</si>
  <si>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</si>
  <si>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</si>
  <si>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</si>
  <si>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</si>
  <si>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</si>
  <si>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</si>
  <si>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</si>
  <si>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</si>
  <si>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</si>
  <si>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</si>
  <si>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</si>
  <si>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</si>
  <si>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</si>
  <si>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</si>
  <si>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</si>
  <si>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</si>
  <si>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</si>
  <si>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</si>
  <si>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</si>
  <si>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</si>
  <si>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</si>
  <si>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</si>
  <si>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</si>
  <si>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</si>
  <si>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</si>
  <si>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</si>
  <si>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</si>
  <si>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</si>
  <si>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</si>
  <si>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</si>
  <si>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</si>
  <si>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</si>
  <si>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</si>
  <si>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</si>
  <si>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</si>
  <si>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</si>
  <si>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</si>
  <si>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</si>
  <si>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</si>
  <si>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</si>
  <si>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</si>
  <si>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</si>
  <si>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</si>
  <si>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</si>
  <si>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</si>
  <si>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</si>
  <si>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</si>
  <si>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</si>
  <si>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</si>
  <si>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</si>
  <si>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</si>
  <si>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</si>
  <si>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</si>
  <si>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</si>
  <si>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</si>
  <si>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</si>
  <si>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</si>
  <si>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</si>
  <si>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</si>
  <si>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</si>
  <si>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</si>
  <si>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</si>
  <si>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</si>
  <si>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</si>
  <si>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</si>
  <si>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</si>
  <si>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</si>
  <si>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</si>
  <si>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</si>
  <si>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</si>
  <si>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</si>
  <si>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</si>
  <si>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</si>
  <si>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</si>
  <si>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</si>
  <si>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</si>
  <si>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</si>
  <si>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</si>
  <si>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</si>
  <si>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</si>
  <si>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</si>
  <si>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</si>
  <si>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</si>
  <si>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</si>
  <si>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</si>
  <si>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</si>
  <si>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</si>
  <si>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</si>
  <si>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</si>
  <si>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</si>
  <si>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</si>
  <si>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</si>
  <si>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</si>
  <si>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</si>
  <si>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</si>
  <si>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</si>
  <si>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</si>
  <si>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</si>
  <si>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</si>
  <si>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</si>
  <si>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</si>
  <si>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</si>
  <si>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</si>
  <si>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</si>
  <si>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</si>
  <si>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</si>
  <si>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</si>
  <si>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</si>
  <si>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</si>
  <si>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</si>
  <si>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</si>
  <si>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</si>
  <si>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</si>
  <si>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</si>
  <si>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</si>
  <si>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</si>
  <si>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</si>
  <si>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</si>
  <si>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</si>
  <si>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</si>
  <si>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</si>
  <si>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</si>
  <si>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</si>
  <si>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</si>
  <si>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</si>
  <si>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</si>
  <si>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</si>
  <si>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</si>
  <si>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</si>
  <si>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</si>
  <si>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</si>
  <si>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</si>
  <si>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</si>
  <si>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</si>
  <si>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</si>
  <si>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</si>
  <si>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</si>
  <si>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</si>
  <si>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</si>
  <si>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</si>
  <si>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</si>
  <si>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</si>
  <si>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</si>
  <si>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</si>
  <si>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</si>
  <si>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</si>
  <si>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</si>
  <si>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</si>
  <si>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</si>
  <si>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</si>
  <si>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</si>
  <si>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</si>
  <si>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</si>
  <si>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</si>
  <si>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</si>
  <si>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</si>
  <si>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</si>
  <si>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</si>
  <si>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</si>
  <si>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</si>
  <si>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</si>
  <si>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</si>
  <si>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</si>
  <si>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</si>
  <si>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</si>
  <si>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</si>
  <si>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</si>
  <si>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</si>
  <si>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</si>
  <si>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</si>
  <si>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</si>
  <si>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</si>
  <si>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</si>
  <si>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</si>
  <si>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</si>
  <si>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</si>
  <si>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</si>
  <si>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</si>
  <si>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</si>
  <si>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</si>
  <si>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</si>
  <si>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</si>
  <si>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</si>
  <si>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</si>
  <si>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</si>
  <si>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</si>
  <si>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</si>
  <si>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</si>
  <si>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</si>
  <si>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</si>
  <si>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</si>
  <si>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</si>
  <si>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</si>
  <si>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</si>
  <si>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</si>
  <si>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</si>
  <si>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</si>
  <si>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</si>
  <si>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</si>
  <si>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</si>
  <si>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</si>
  <si>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</si>
  <si>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</si>
  <si>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</si>
  <si>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</si>
  <si>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</si>
  <si>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</si>
  <si>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</si>
  <si>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</si>
  <si>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</si>
  <si>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</si>
  <si>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</si>
  <si>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</si>
  <si>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</si>
  <si>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</si>
  <si>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</si>
  <si>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</si>
  <si>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</si>
  <si>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</si>
  <si>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</si>
  <si>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</si>
  <si>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</si>
  <si>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</si>
  <si>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</si>
  <si>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</si>
  <si>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</si>
  <si>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</si>
  <si>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</si>
  <si>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</si>
  <si>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</si>
  <si>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</si>
  <si>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</si>
  <si>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</si>
  <si>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</si>
  <si>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</si>
  <si>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</si>
  <si>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</si>
  <si>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</si>
  <si>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</si>
  <si>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</si>
  <si>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</si>
  <si>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</si>
  <si>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</si>
  <si>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</si>
  <si>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</si>
  <si>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</si>
  <si>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</si>
  <si>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</si>
  <si>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</si>
  <si>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</si>
  <si>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</si>
  <si>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</si>
  <si>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</si>
  <si>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</si>
  <si>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</si>
  <si>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</si>
  <si>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</si>
  <si>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</si>
  <si>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</si>
  <si>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</si>
  <si>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</si>
  <si>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</si>
  <si>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</si>
  <si>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</si>
  <si>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</si>
  <si>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</si>
  <si>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</si>
  <si>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t>
  </si>
  <si>
    <t>抵押价格</t>
  </si>
  <si>
    <t>商业</t>
  </si>
  <si>
    <t>商业</t>
    <phoneticPr fontId="3" type="noConversion"/>
  </si>
  <si>
    <t>办公</t>
    <phoneticPr fontId="3" type="noConversion"/>
  </si>
  <si>
    <t>是</t>
    <phoneticPr fontId="3" type="noConversion"/>
  </si>
  <si>
    <t>是</t>
    <phoneticPr fontId="3" type="noConversion"/>
  </si>
  <si>
    <t>地上</t>
  </si>
  <si>
    <t>配套及设备</t>
    <phoneticPr fontId="3" type="noConversion"/>
  </si>
  <si>
    <t>是</t>
    <phoneticPr fontId="3" type="noConversion"/>
  </si>
  <si>
    <t>卸货场</t>
    <phoneticPr fontId="3" type="noConversion"/>
  </si>
  <si>
    <t>地下商业</t>
    <phoneticPr fontId="3" type="noConversion"/>
  </si>
  <si>
    <t>地下</t>
  </si>
  <si>
    <t>商业街</t>
  </si>
  <si>
    <t>底商</t>
  </si>
  <si>
    <t>办公楼</t>
  </si>
  <si>
    <t>地下车库</t>
    <phoneticPr fontId="3" type="noConversion"/>
  </si>
  <si>
    <t>地下设备</t>
    <phoneticPr fontId="3" type="noConversion"/>
  </si>
  <si>
    <t>是</t>
    <phoneticPr fontId="3" type="noConversion"/>
  </si>
  <si>
    <t>车库</t>
  </si>
  <si>
    <t>车库—商业</t>
  </si>
  <si>
    <t>地上商业</t>
    <phoneticPr fontId="7" type="noConversion"/>
  </si>
  <si>
    <t>办公</t>
    <phoneticPr fontId="7" type="noConversion"/>
  </si>
  <si>
    <t>卸货场</t>
    <phoneticPr fontId="7" type="noConversion"/>
  </si>
  <si>
    <t>地下商业</t>
    <phoneticPr fontId="7" type="noConversion"/>
  </si>
  <si>
    <t>地下车库</t>
    <phoneticPr fontId="7" type="noConversion"/>
  </si>
  <si>
    <t>一致</t>
  </si>
  <si>
    <t>出让</t>
  </si>
  <si>
    <t>剩余法-待开发</t>
  </si>
  <si>
    <t>土地</t>
  </si>
  <si>
    <t>项目全部</t>
  </si>
  <si>
    <t>地上商业</t>
  </si>
  <si>
    <t>卸货场</t>
  </si>
  <si>
    <t>地下商业</t>
  </si>
  <si>
    <t>地块名称</t>
  </si>
  <si>
    <t>城市</t>
  </si>
  <si>
    <t>用地性质</t>
  </si>
  <si>
    <t>建设用地面积(㎡)</t>
  </si>
  <si>
    <t>规划建筑面积(㎡)</t>
  </si>
  <si>
    <t>出让方式</t>
  </si>
  <si>
    <t>截止日期</t>
  </si>
  <si>
    <t>起始价(万元)</t>
  </si>
  <si>
    <t>成交价(万元)</t>
  </si>
  <si>
    <t>成交楼面价(元/㎡)</t>
  </si>
  <si>
    <t>溢价率</t>
  </si>
  <si>
    <t>受让单位</t>
  </si>
  <si>
    <t>XDG-2017-36号地块</t>
  </si>
  <si>
    <t>无锡市</t>
  </si>
  <si>
    <t>商业/办公用地</t>
  </si>
  <si>
    <t>挂牌</t>
  </si>
  <si>
    <t>2018-03-06</t>
  </si>
  <si>
    <t>江苏贝勒置业有限公司</t>
  </si>
  <si>
    <t>XDG-2015-13号地块</t>
  </si>
  <si>
    <t>2017-08-24</t>
  </si>
  <si>
    <t>无锡友达加油服务有限公司</t>
  </si>
  <si>
    <t>XDG-2016-41号地块</t>
  </si>
  <si>
    <t>无锡周新建设投资发展有限公司</t>
  </si>
  <si>
    <t>XDG-2017-7号地块</t>
  </si>
  <si>
    <t>2017-08-18</t>
  </si>
  <si>
    <t>无锡市太湖新城建设指挥部办公室</t>
  </si>
  <si>
    <t>XDG-2016-28号地块</t>
  </si>
  <si>
    <t>2017-06-05</t>
  </si>
  <si>
    <t>2016-04-18</t>
  </si>
  <si>
    <t>XDG-2014-37号地块</t>
  </si>
  <si>
    <t>2016-01-14</t>
  </si>
  <si>
    <t>中石化壳牌(江苏)石油销售有限公司</t>
  </si>
  <si>
    <t>XDG-2013-33号地块</t>
  </si>
  <si>
    <t>2015-10-19</t>
  </si>
  <si>
    <t>无锡市华庄石油制品有限公司</t>
  </si>
  <si>
    <t>滨湖区缘溪道东侧,老锡南路北侧</t>
  </si>
  <si>
    <t>2015-05-04</t>
  </si>
  <si>
    <t>中国石化销售有限公司江苏无锡石油分公司</t>
  </si>
  <si>
    <t>地面单价</t>
  </si>
  <si>
    <t>地面单价</t>
    <phoneticPr fontId="233" type="noConversion"/>
  </si>
  <si>
    <t>滨湖区</t>
    <phoneticPr fontId="233" type="noConversion"/>
  </si>
  <si>
    <t>成交价(万元)</t>
    <phoneticPr fontId="233" type="noConversion"/>
  </si>
  <si>
    <t>无锡市太湖新城建设指挥部办公室</t>
    <phoneticPr fontId="233" type="noConversion"/>
  </si>
  <si>
    <t>XDG-2017-48号地块</t>
  </si>
  <si>
    <t>无锡隽泰房地产开发有限公司</t>
  </si>
  <si>
    <t>XDG-2017-46号地块</t>
  </si>
  <si>
    <t>XDG-2017-49号地块</t>
  </si>
  <si>
    <t>无锡市新吴区江溪街道资产经营公司</t>
  </si>
  <si>
    <t>XDG-2017-47号地块</t>
  </si>
  <si>
    <t>XDG-2017-38号地块</t>
  </si>
  <si>
    <t>2017-12-22</t>
  </si>
  <si>
    <t>无锡吴文化博览园建设发展有限公司</t>
  </si>
  <si>
    <t>XDG-2017-20号地块</t>
  </si>
  <si>
    <t>XDG-2017-21号地块</t>
  </si>
  <si>
    <t>2017-12-04</t>
  </si>
  <si>
    <t>无锡新丰泰尚众汽车销售服务有限公司</t>
  </si>
  <si>
    <t>XDG-2017-18号地块</t>
  </si>
  <si>
    <t>2017-09-04</t>
  </si>
  <si>
    <t>XDG-2017-19号地块</t>
  </si>
  <si>
    <t>无锡吴越水街置业有限公司</t>
  </si>
  <si>
    <t>XDG-2017-4号地块</t>
  </si>
  <si>
    <t>无锡市新发汇融置业有限公司</t>
  </si>
  <si>
    <t>XDG-2017-12号地块</t>
  </si>
  <si>
    <t>上海绥廖企业管理有限公司</t>
  </si>
  <si>
    <t>XDG-2017-3号地块</t>
  </si>
  <si>
    <t>无锡西南铝业技术有限公司</t>
  </si>
  <si>
    <t>正常</t>
  </si>
  <si>
    <t>楼面地价</t>
  </si>
  <si>
    <t>一般</t>
  </si>
  <si>
    <t>较好</t>
  </si>
  <si>
    <t>主</t>
  </si>
  <si>
    <t>次</t>
  </si>
  <si>
    <t>次</t>
    <phoneticPr fontId="26" type="noConversion"/>
  </si>
  <si>
    <t>支</t>
  </si>
  <si>
    <t>支</t>
    <phoneticPr fontId="26" type="noConversion"/>
  </si>
  <si>
    <t>快</t>
  </si>
  <si>
    <t>快</t>
    <phoneticPr fontId="26" type="noConversion"/>
  </si>
  <si>
    <t>主</t>
    <phoneticPr fontId="26" type="noConversion"/>
  </si>
  <si>
    <t>多面临街</t>
  </si>
  <si>
    <t>双面临街</t>
  </si>
  <si>
    <t>比较法-住宅、综合</t>
  </si>
  <si>
    <t>押一</t>
  </si>
  <si>
    <t>不动产收益法</t>
  </si>
  <si>
    <t>土地（套用方法）</t>
  </si>
  <si>
    <t>钢混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</si>
</sst>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82" fillId="2" borderId="21" xfId="0"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5" fillId="0" borderId="0" xfId="0" applyFont="1" applyAlignment="1">
      <alignment horizontal="center" vertical="center" wrapText="1"/>
    </xf>
    <xf numFmtId="0" fontId="285" fillId="0" borderId="0" xfId="0" applyFont="1" applyAlignment="1">
      <alignment horizontal="center" vertical="center"/>
    </xf>
    <xf numFmtId="0" fontId="285" fillId="0" borderId="0" xfId="0" applyFont="1" applyAlignment="1"/>
    <xf numFmtId="0" fontId="285" fillId="0" borderId="0" xfId="0" applyFont="1">
      <alignment vertical="center"/>
    </xf>
    <xf numFmtId="0" fontId="285" fillId="0" borderId="2" xfId="0" applyFont="1" applyBorder="1" applyAlignment="1">
      <alignment horizontal="center" vertical="center" wrapText="1"/>
    </xf>
    <xf numFmtId="0" fontId="285" fillId="0" borderId="2" xfId="0" applyFont="1" applyBorder="1" applyAlignment="1">
      <alignment horizontal="center" vertical="center"/>
    </xf>
    <xf numFmtId="0" fontId="145" fillId="0" borderId="2" xfId="0" applyFont="1" applyBorder="1" applyAlignment="1">
      <alignment horizontal="center" vertical="center"/>
    </xf>
    <xf numFmtId="0" fontId="0" fillId="0" borderId="2" xfId="0" applyBorder="1" applyAlignment="1">
      <alignment wrapText="1"/>
    </xf>
    <xf numFmtId="0" fontId="0" fillId="0" borderId="2" xfId="0" applyBorder="1" applyAlignment="1">
      <alignment horizontal="center" vertical="center" wrapText="1"/>
    </xf>
    <xf numFmtId="0" fontId="285" fillId="9" borderId="2" xfId="0" applyFont="1" applyFill="1" applyBorder="1" applyAlignment="1">
      <alignment horizontal="center" vertical="center"/>
    </xf>
    <xf numFmtId="0" fontId="285" fillId="9" borderId="0" xfId="0" applyFont="1" applyFill="1" applyAlignment="1"/>
    <xf numFmtId="0" fontId="0" fillId="9" borderId="2" xfId="0" applyFill="1" applyBorder="1" applyAlignment="1">
      <alignment horizontal="center" vertical="center" wrapText="1"/>
    </xf>
    <xf numFmtId="0" fontId="0" fillId="9" borderId="2" xfId="0" applyFill="1" applyBorder="1" applyAlignment="1">
      <alignment wrapText="1"/>
    </xf>
    <xf numFmtId="0" fontId="0" fillId="9" borderId="0" xfId="0" applyFill="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2" customWidth="1"/>
    <col min="2" max="2" width="20.625" style="3477" customWidth="1"/>
    <col min="3" max="3" width="11.875" style="3477" customWidth="1"/>
    <col min="4" max="4" width="40.5" style="3202" customWidth="1"/>
    <col min="5" max="5" width="15.75" style="3202" customWidth="1"/>
    <col min="6" max="6" width="10.625" style="3202" customWidth="1"/>
    <col min="7" max="7" width="4.875" style="3202" customWidth="1"/>
    <col min="8" max="8" width="8.5" style="3202" customWidth="1"/>
    <col min="9" max="9" width="21.25" style="3202" customWidth="1"/>
    <col min="10" max="10" width="12.25" style="3202" customWidth="1"/>
    <col min="11" max="11" width="40.125" style="3464" customWidth="1"/>
    <col min="12" max="12" width="16.375" style="3202" customWidth="1"/>
    <col min="13" max="13" width="13" style="3202" customWidth="1"/>
    <col min="14" max="14" width="13.75" style="3201" customWidth="1"/>
    <col min="15" max="15" width="5.125" style="3201" customWidth="1"/>
    <col min="16" max="16" width="25.75" style="3201" customWidth="1"/>
    <col min="17" max="17" width="13.75" style="3201" customWidth="1"/>
    <col min="18" max="18" width="20.5" style="3201" customWidth="1"/>
    <col min="19" max="19" width="13.25" style="3201" customWidth="1"/>
    <col min="20" max="37" width="9" style="3201"/>
    <col min="38" max="16384" width="9" style="3202"/>
  </cols>
  <sheetData>
    <row r="1" spans="1:37" s="3191" customFormat="1" ht="21">
      <c r="A1" s="3180" t="s">
        <v>2985</v>
      </c>
      <c r="B1" s="3181"/>
      <c r="C1" s="3182"/>
      <c r="D1" s="3183"/>
      <c r="E1" s="3184" t="s">
        <v>2986</v>
      </c>
      <c r="F1" s="3185" t="b">
        <f>J53</f>
        <v>0</v>
      </c>
      <c r="G1" s="3186">
        <f>MATCH(C1,'[1]数据-取费表'!A6:A16,0)+5</f>
        <v>6</v>
      </c>
      <c r="H1" s="3187"/>
      <c r="I1" s="3188"/>
      <c r="J1" s="3188"/>
      <c r="K1" s="3189"/>
      <c r="L1" s="3188"/>
      <c r="M1" s="3188"/>
      <c r="N1" s="3190"/>
      <c r="O1" s="3190"/>
      <c r="P1" s="3190"/>
      <c r="Q1" s="3190"/>
      <c r="R1" s="3190"/>
      <c r="S1" s="3190"/>
      <c r="T1" s="3190"/>
      <c r="U1" s="3190"/>
      <c r="V1" s="3190"/>
      <c r="W1" s="3190"/>
      <c r="X1" s="3190"/>
      <c r="Y1" s="3190"/>
      <c r="Z1" s="3190"/>
      <c r="AA1" s="3190"/>
      <c r="AB1" s="3190"/>
      <c r="AC1" s="3190"/>
      <c r="AD1" s="3190"/>
      <c r="AE1" s="3190"/>
      <c r="AF1" s="3190"/>
      <c r="AG1" s="3190"/>
      <c r="AH1" s="3190"/>
      <c r="AI1" s="3190"/>
      <c r="AJ1" s="3190"/>
      <c r="AK1" s="3190"/>
    </row>
    <row r="2" spans="1:37" ht="18" customHeight="1">
      <c r="A2" s="3192" t="s">
        <v>2987</v>
      </c>
      <c r="B2" s="3193" t="e">
        <f ca="1">ROUND(D2/10000,0)</f>
        <v>#DIV/0!</v>
      </c>
      <c r="C2" s="3194" t="s">
        <v>2988</v>
      </c>
      <c r="D2" s="3195" t="e">
        <f ca="1">C40+J29+L46</f>
        <v>#DIV/0!</v>
      </c>
      <c r="E2" s="3196" t="s">
        <v>2989</v>
      </c>
      <c r="F2" s="3197"/>
      <c r="G2" s="3198"/>
      <c r="H2" s="3199"/>
      <c r="I2" s="3199"/>
      <c r="J2" s="3199"/>
      <c r="K2" s="3200"/>
      <c r="L2" s="3199"/>
      <c r="M2" s="3199"/>
    </row>
    <row r="3" spans="1:37" ht="18" customHeight="1" thickBot="1">
      <c r="A3" s="3203" t="s">
        <v>2990</v>
      </c>
      <c r="B3" s="3204">
        <f ca="1">IF(ISERROR(D2/F43),0,ROUND(D2/F43,0))</f>
        <v>0</v>
      </c>
      <c r="C3" s="3194" t="s">
        <v>2991</v>
      </c>
      <c r="D3" s="3194"/>
      <c r="E3" s="3196"/>
      <c r="F3" s="3197"/>
      <c r="G3" s="3198"/>
      <c r="H3" s="3205" t="s">
        <v>2992</v>
      </c>
      <c r="I3" s="3199"/>
      <c r="J3" s="3199"/>
      <c r="K3" s="3200"/>
      <c r="L3" s="3199"/>
      <c r="M3" s="3199"/>
    </row>
    <row r="4" spans="1:37" ht="18" customHeight="1">
      <c r="A4" s="3206" t="s">
        <v>2993</v>
      </c>
      <c r="B4" s="3207" t="s">
        <v>2994</v>
      </c>
      <c r="C4" s="3207" t="s">
        <v>2995</v>
      </c>
      <c r="D4" s="3207" t="s">
        <v>2996</v>
      </c>
      <c r="E4" s="3208" t="s">
        <v>2997</v>
      </c>
      <c r="F4" s="3209"/>
      <c r="G4" s="3210"/>
      <c r="H4" s="3206" t="s">
        <v>2998</v>
      </c>
      <c r="I4" s="3207" t="s">
        <v>2999</v>
      </c>
      <c r="J4" s="3207" t="s">
        <v>3000</v>
      </c>
      <c r="K4" s="3207" t="s">
        <v>3001</v>
      </c>
      <c r="L4" s="3208" t="s">
        <v>2997</v>
      </c>
      <c r="M4" s="3209"/>
    </row>
    <row r="5" spans="1:37" ht="18" customHeight="1">
      <c r="A5" s="3211">
        <v>1</v>
      </c>
      <c r="B5" s="3212" t="s">
        <v>3002</v>
      </c>
      <c r="C5" s="3213">
        <f ca="1">C6+C10+C12</f>
        <v>0</v>
      </c>
      <c r="D5" s="3214" t="s">
        <v>3003</v>
      </c>
      <c r="E5" s="3215"/>
      <c r="F5" s="3216"/>
      <c r="G5" s="3210"/>
      <c r="H5" s="3211">
        <v>1</v>
      </c>
      <c r="I5" s="3212" t="s">
        <v>3002</v>
      </c>
      <c r="J5" s="3213">
        <f ca="1">J6+J10+J12</f>
        <v>0</v>
      </c>
      <c r="K5" s="3214" t="s">
        <v>3003</v>
      </c>
      <c r="L5" s="3215"/>
      <c r="M5" s="3216"/>
    </row>
    <row r="6" spans="1:37" ht="18" customHeight="1">
      <c r="A6" s="3217" t="s">
        <v>3004</v>
      </c>
      <c r="B6" s="3481" t="s">
        <v>3005</v>
      </c>
      <c r="C6" s="3218">
        <f ca="1">ROUND(F6*F8*F7*(1-F9),0)</f>
        <v>0</v>
      </c>
      <c r="D6" s="3219" t="s">
        <v>3006</v>
      </c>
      <c r="E6" s="3220" t="s">
        <v>3007</v>
      </c>
      <c r="F6" s="3221">
        <f ca="1">INDIRECT("'数据-取费表'!u"&amp;$G$1)</f>
        <v>0</v>
      </c>
      <c r="G6" s="3210"/>
      <c r="H6" s="3217" t="s">
        <v>3004</v>
      </c>
      <c r="I6" s="3481" t="s">
        <v>3005</v>
      </c>
      <c r="J6" s="3222">
        <f ca="1">ROUND(M6*M8*M7*(1-M9),0)</f>
        <v>0</v>
      </c>
      <c r="K6" s="3223" t="s">
        <v>3008</v>
      </c>
      <c r="L6" s="3220" t="s">
        <v>3007</v>
      </c>
      <c r="M6" s="3221">
        <f ca="1">INDIRECT("'数据-取费表'!z"&amp;$G$1)</f>
        <v>0</v>
      </c>
    </row>
    <row r="7" spans="1:37" ht="18" customHeight="1">
      <c r="A7" s="3224"/>
      <c r="B7" s="3482"/>
      <c r="C7" s="3225"/>
      <c r="D7" s="3226"/>
      <c r="E7" s="3227" t="s">
        <v>3009</v>
      </c>
      <c r="F7" s="3221">
        <f ca="1">IF(INDIRECT("'数据-取费表'!ah"&amp;$G$1)="",INDIRECT("'数据-取费表'!k"&amp;$G$1),INDIRECT("'数据-取费表'!ah"&amp;$G$1))</f>
        <v>97478.52</v>
      </c>
      <c r="G7" s="3210"/>
      <c r="H7" s="3228"/>
      <c r="I7" s="3482"/>
      <c r="J7" s="3229"/>
      <c r="K7" s="3226"/>
      <c r="L7" s="3220" t="s">
        <v>3009</v>
      </c>
      <c r="M7" s="3221">
        <f ca="1">F7</f>
        <v>97478.52</v>
      </c>
    </row>
    <row r="8" spans="1:37" ht="18" customHeight="1">
      <c r="A8" s="3228"/>
      <c r="B8" s="3482"/>
      <c r="C8" s="3229"/>
      <c r="D8" s="3226"/>
      <c r="E8" s="3220" t="s">
        <v>3010</v>
      </c>
      <c r="F8" s="3221">
        <f ca="1">INDIRECT("'数据-取费表'!ai"&amp;$G$1)</f>
        <v>0</v>
      </c>
      <c r="G8" s="3210"/>
      <c r="H8" s="3228"/>
      <c r="I8" s="3482"/>
      <c r="J8" s="3229"/>
      <c r="K8" s="3226"/>
      <c r="L8" s="3220" t="s">
        <v>3010</v>
      </c>
      <c r="M8" s="3221">
        <f ca="1">INDIRECT("'数据-取费表'!ai"&amp;$G$1)</f>
        <v>0</v>
      </c>
    </row>
    <row r="9" spans="1:37" ht="18" customHeight="1">
      <c r="A9" s="3228"/>
      <c r="B9" s="3483"/>
      <c r="C9" s="3229"/>
      <c r="D9" s="3226"/>
      <c r="E9" s="3220" t="s">
        <v>3011</v>
      </c>
      <c r="F9" s="3230">
        <f ca="1">INDIRECT("'数据-取费表'!w"&amp;$G$1)</f>
        <v>0</v>
      </c>
      <c r="G9" s="3210"/>
      <c r="H9" s="3228"/>
      <c r="I9" s="3483"/>
      <c r="J9" s="3229"/>
      <c r="K9" s="3226"/>
      <c r="L9" s="3231" t="s">
        <v>3011</v>
      </c>
      <c r="M9" s="3232">
        <f ca="1">INDIRECT("'数据-取费表'!ab"&amp;$G$1)</f>
        <v>0</v>
      </c>
    </row>
    <row r="10" spans="1:37" ht="18" customHeight="1">
      <c r="A10" s="3217" t="s">
        <v>3012</v>
      </c>
      <c r="B10" s="3233" t="s">
        <v>3013</v>
      </c>
      <c r="C10" s="3234">
        <f>ROUND(IF(F10="押一",F6*F8*F7/12*F11,IF(F10="押二",F6*F8*F7/12*2*F11,IF(F10="押三",F6*F8*F7/12*3*F11,C11*F11))),0)</f>
        <v>0</v>
      </c>
      <c r="D10" s="3235" t="s">
        <v>3014</v>
      </c>
      <c r="E10" s="3231" t="s">
        <v>3015</v>
      </c>
      <c r="F10" s="3236"/>
      <c r="G10" s="3210"/>
      <c r="H10" s="3217" t="s">
        <v>3012</v>
      </c>
      <c r="I10" s="3233" t="s">
        <v>3013</v>
      </c>
      <c r="J10" s="3222">
        <f>ROUND(IF(M10="押一",M6*M8*M7/12*M11,IF(M10="押二",M6*M8*M7/12*2*M11,IF(M10="押三",M6*M8*M7/12*3*M11,J11*M11))),0)</f>
        <v>0</v>
      </c>
      <c r="K10" s="3237" t="s">
        <v>3016</v>
      </c>
      <c r="L10" s="3231" t="s">
        <v>3015</v>
      </c>
      <c r="M10" s="3236"/>
    </row>
    <row r="11" spans="1:37" ht="18" customHeight="1">
      <c r="A11" s="3238"/>
      <c r="B11" s="3239" t="s">
        <v>3017</v>
      </c>
      <c r="C11" s="3240"/>
      <c r="D11" s="3226"/>
      <c r="E11" s="3231" t="s">
        <v>3018</v>
      </c>
      <c r="F11" s="3232">
        <f>'[1]数据-取费表'!B39</f>
        <v>0</v>
      </c>
      <c r="G11" s="3210"/>
      <c r="H11" s="3241"/>
      <c r="I11" s="3239" t="s">
        <v>3019</v>
      </c>
      <c r="J11" s="3240"/>
      <c r="K11" s="3242"/>
      <c r="L11" s="3231" t="s">
        <v>3018</v>
      </c>
      <c r="M11" s="3243">
        <f>'[1]数据-取费表'!B39</f>
        <v>0</v>
      </c>
    </row>
    <row r="12" spans="1:37" ht="18" customHeight="1" thickBot="1">
      <c r="A12" s="3244" t="s">
        <v>3020</v>
      </c>
      <c r="B12" s="3245" t="s">
        <v>3021</v>
      </c>
      <c r="C12" s="3246"/>
      <c r="D12" s="3247"/>
      <c r="E12" s="3248"/>
      <c r="F12" s="3249"/>
      <c r="G12" s="3210"/>
      <c r="H12" s="3244" t="s">
        <v>3020</v>
      </c>
      <c r="I12" s="3245" t="s">
        <v>3021</v>
      </c>
      <c r="J12" s="3246"/>
      <c r="K12" s="3250"/>
      <c r="L12" s="3248"/>
      <c r="M12" s="3251"/>
    </row>
    <row r="13" spans="1:37" ht="18" customHeight="1" thickTop="1">
      <c r="A13" s="3252">
        <v>2</v>
      </c>
      <c r="B13" s="3253" t="s">
        <v>3022</v>
      </c>
      <c r="C13" s="3254">
        <f ca="1">ROUND(C29*F13,0)</f>
        <v>0</v>
      </c>
      <c r="D13" s="3255" t="s">
        <v>3023</v>
      </c>
      <c r="E13" s="3255" t="s">
        <v>3024</v>
      </c>
      <c r="F13" s="3256">
        <f ca="1">INDIRECT("'数据-取费表'!y"&amp;$G$1)</f>
        <v>0</v>
      </c>
      <c r="G13" s="3210"/>
      <c r="H13" s="3252">
        <v>2</v>
      </c>
      <c r="I13" s="3253" t="s">
        <v>3022</v>
      </c>
      <c r="J13" s="3257">
        <f ca="1">ROUND(J14*J15,0)</f>
        <v>0</v>
      </c>
      <c r="K13" s="3258" t="s">
        <v>3023</v>
      </c>
      <c r="L13" s="3259"/>
      <c r="M13" s="3260"/>
    </row>
    <row r="14" spans="1:37" ht="18" customHeight="1">
      <c r="A14" s="3261" t="s">
        <v>3025</v>
      </c>
      <c r="B14" s="3220" t="s">
        <v>3026</v>
      </c>
      <c r="C14" s="3262">
        <f ca="1">ROUND(INDIRECT("'数据-取费表'!l"&amp;$G$1)*F43+'[1]数据-取费表'!L14*INDIRECT("'数据-取费表'!S"&amp;$G$1),0)</f>
        <v>292435560</v>
      </c>
      <c r="D14" s="3263" t="s">
        <v>3027</v>
      </c>
      <c r="E14" s="3264"/>
      <c r="F14" s="3265"/>
      <c r="G14" s="3210"/>
      <c r="H14" s="3261" t="s">
        <v>3028</v>
      </c>
      <c r="I14" s="3220" t="s">
        <v>3029</v>
      </c>
      <c r="J14" s="3266">
        <f ca="1">C29</f>
        <v>350922672</v>
      </c>
      <c r="K14" s="3267"/>
      <c r="L14" s="3268"/>
      <c r="M14" s="3269"/>
    </row>
    <row r="15" spans="1:37" s="3278" customFormat="1" ht="18" customHeight="1" thickBot="1">
      <c r="A15" s="3261" t="s">
        <v>3030</v>
      </c>
      <c r="B15" s="3220" t="s">
        <v>3031</v>
      </c>
      <c r="C15" s="3266">
        <f ca="1">ROUND(C14*F15,0)</f>
        <v>0</v>
      </c>
      <c r="D15" s="3270" t="s">
        <v>3032</v>
      </c>
      <c r="E15" s="3270" t="s">
        <v>3033</v>
      </c>
      <c r="F15" s="3271">
        <f>'[1]数据-取费表'!B33</f>
        <v>0</v>
      </c>
      <c r="G15" s="3272"/>
      <c r="H15" s="3273" t="s">
        <v>3012</v>
      </c>
      <c r="I15" s="3248" t="s">
        <v>3024</v>
      </c>
      <c r="J15" s="3251">
        <f ca="1">INDIRECT("'数据-取费表'!ad"&amp;$G$1)</f>
        <v>0</v>
      </c>
      <c r="K15" s="3274"/>
      <c r="L15" s="3275"/>
      <c r="M15" s="3276"/>
      <c r="N15" s="3277"/>
      <c r="O15" s="3277"/>
      <c r="P15" s="3277"/>
      <c r="Q15" s="3277"/>
      <c r="R15" s="3277"/>
      <c r="S15" s="3277"/>
      <c r="T15" s="3277"/>
      <c r="U15" s="3277"/>
      <c r="V15" s="3277"/>
      <c r="W15" s="3277"/>
      <c r="X15" s="3277"/>
      <c r="Y15" s="3277"/>
      <c r="Z15" s="3277"/>
      <c r="AA15" s="3277"/>
      <c r="AB15" s="3277"/>
      <c r="AC15" s="3277"/>
      <c r="AD15" s="3277"/>
      <c r="AE15" s="3277"/>
      <c r="AF15" s="3277"/>
      <c r="AG15" s="3277"/>
      <c r="AH15" s="3277"/>
      <c r="AI15" s="3277"/>
      <c r="AJ15" s="3277"/>
      <c r="AK15" s="3277"/>
    </row>
    <row r="16" spans="1:37" ht="18" customHeight="1" thickTop="1">
      <c r="A16" s="3261" t="s">
        <v>3034</v>
      </c>
      <c r="B16" s="3220" t="s">
        <v>3035</v>
      </c>
      <c r="C16" s="3266">
        <f ca="1">ROUND(INDIRECT("'数据-取费表'!l"&amp;$G$1)*F43*F16,0)</f>
        <v>0</v>
      </c>
      <c r="D16" s="3220" t="s">
        <v>3036</v>
      </c>
      <c r="E16" s="3220" t="s">
        <v>3037</v>
      </c>
      <c r="F16" s="3279">
        <f ca="1">IF(INDIRECT("'数据-取费表'!c"&amp;$G$1)="住宅",'[1]数据-取费表'!B34,0)</f>
        <v>0</v>
      </c>
      <c r="G16" s="3210"/>
      <c r="H16" s="3252" t="s">
        <v>3038</v>
      </c>
      <c r="I16" s="3253" t="s">
        <v>3039</v>
      </c>
      <c r="J16" s="3254">
        <f ca="1">ROUND(J17+J22+J23+J24,0)</f>
        <v>2947750</v>
      </c>
      <c r="K16" s="3258" t="s">
        <v>3040</v>
      </c>
      <c r="L16" s="3280"/>
      <c r="M16" s="3216"/>
    </row>
    <row r="17" spans="1:37" s="3278" customFormat="1" ht="18" customHeight="1">
      <c r="A17" s="3261" t="s">
        <v>3041</v>
      </c>
      <c r="B17" s="3220" t="s">
        <v>3042</v>
      </c>
      <c r="C17" s="3266">
        <f ca="1">ROUND(F17*(F43+INDIRECT("'数据-取费表'!S"&amp;$G$1)),0)</f>
        <v>0</v>
      </c>
      <c r="D17" s="3220" t="s">
        <v>3043</v>
      </c>
      <c r="E17" s="3220" t="s">
        <v>3044</v>
      </c>
      <c r="F17" s="3281">
        <f>'[1]数据-取费表'!B35</f>
        <v>0</v>
      </c>
      <c r="G17" s="3272"/>
      <c r="H17" s="3261" t="s">
        <v>3004</v>
      </c>
      <c r="I17" s="3220" t="s">
        <v>3045</v>
      </c>
      <c r="J17" s="3266">
        <f ca="1">ROUND(IF([1]项目基本情况!B11="自然人",J5*M17,J18+J19+J20),0)</f>
        <v>2947750</v>
      </c>
      <c r="K17" s="3263" t="s">
        <v>3046</v>
      </c>
      <c r="L17" s="3282" t="s">
        <v>3047</v>
      </c>
      <c r="M17" s="3283">
        <f ca="1">IF([1]项目基本情况!B11="企业","",IF(INDIRECT("'数据-取费表'!c"&amp;$G$1)="住宅",5%,IF(M6*M7*M8/12/(1+'[1]数据-取费表'!C42)&gt;20000,12%,7%)))</f>
        <v>7.0000000000000007E-2</v>
      </c>
      <c r="N17" s="3277"/>
      <c r="O17" s="3277"/>
      <c r="P17" s="3277"/>
      <c r="Q17" s="3277"/>
      <c r="R17" s="3277"/>
      <c r="S17" s="3277"/>
      <c r="T17" s="3277"/>
      <c r="U17" s="3277"/>
      <c r="V17" s="3277"/>
      <c r="W17" s="3277"/>
      <c r="X17" s="3277"/>
      <c r="Y17" s="3277"/>
      <c r="Z17" s="3277"/>
      <c r="AA17" s="3277"/>
      <c r="AB17" s="3277"/>
      <c r="AC17" s="3277"/>
      <c r="AD17" s="3277"/>
      <c r="AE17" s="3277"/>
      <c r="AF17" s="3277"/>
      <c r="AG17" s="3277"/>
      <c r="AH17" s="3277"/>
      <c r="AI17" s="3277"/>
      <c r="AJ17" s="3277"/>
      <c r="AK17" s="3277"/>
    </row>
    <row r="18" spans="1:37" s="3278" customFormat="1" ht="18" customHeight="1">
      <c r="A18" s="3261" t="s">
        <v>3048</v>
      </c>
      <c r="B18" s="3220" t="s">
        <v>3049</v>
      </c>
      <c r="C18" s="3266">
        <f ca="1">ROUND(C14*F18,0)</f>
        <v>0</v>
      </c>
      <c r="D18" s="3220" t="s">
        <v>3032</v>
      </c>
      <c r="E18" s="3220" t="s">
        <v>3033</v>
      </c>
      <c r="F18" s="3279">
        <f>'[1]数据-取费表'!B36</f>
        <v>0</v>
      </c>
      <c r="G18" s="3272"/>
      <c r="H18" s="3261" t="s">
        <v>3025</v>
      </c>
      <c r="I18" s="3220" t="s">
        <v>3050</v>
      </c>
      <c r="J18" s="3266">
        <f ca="1">ROUND(J5*M18/(1+'[1]数据-取费表'!C42),0)</f>
        <v>0</v>
      </c>
      <c r="K18" s="3282" t="s">
        <v>3051</v>
      </c>
      <c r="L18" s="3220" t="s">
        <v>3037</v>
      </c>
      <c r="M18" s="3279">
        <f>'[1]数据-取费表'!B41</f>
        <v>0</v>
      </c>
      <c r="N18" s="3277"/>
      <c r="O18" s="3277"/>
      <c r="P18" s="3277"/>
      <c r="Q18" s="3277"/>
      <c r="R18" s="3277"/>
      <c r="S18" s="3277"/>
      <c r="T18" s="3277"/>
      <c r="U18" s="3277"/>
      <c r="V18" s="3277"/>
      <c r="W18" s="3277"/>
      <c r="X18" s="3277"/>
      <c r="Y18" s="3277"/>
      <c r="Z18" s="3277"/>
      <c r="AA18" s="3277"/>
      <c r="AB18" s="3277"/>
      <c r="AC18" s="3277"/>
      <c r="AD18" s="3277"/>
      <c r="AE18" s="3277"/>
      <c r="AF18" s="3277"/>
      <c r="AG18" s="3277"/>
      <c r="AH18" s="3277"/>
      <c r="AI18" s="3277"/>
      <c r="AJ18" s="3277"/>
      <c r="AK18" s="3277"/>
    </row>
    <row r="19" spans="1:37" ht="18" customHeight="1">
      <c r="A19" s="3261" t="s">
        <v>3028</v>
      </c>
      <c r="B19" s="3220" t="s">
        <v>3052</v>
      </c>
      <c r="C19" s="3266">
        <f ca="1">SUM(C14:C18)</f>
        <v>292435560</v>
      </c>
      <c r="D19" s="3284" t="s">
        <v>3053</v>
      </c>
      <c r="E19" s="3285"/>
      <c r="F19" s="3281"/>
      <c r="G19" s="3210"/>
      <c r="H19" s="3261" t="s">
        <v>3030</v>
      </c>
      <c r="I19" s="3220" t="s">
        <v>3054</v>
      </c>
      <c r="J19" s="3266">
        <f ca="1">IF(K19="按租金收入计税",ROUND(J5*M19,0),ROUND(C29*M19*0.7,0))</f>
        <v>2947750</v>
      </c>
      <c r="K19" s="3286" t="s">
        <v>3055</v>
      </c>
      <c r="L19" s="3220" t="s">
        <v>3033</v>
      </c>
      <c r="M19" s="3279">
        <f>IF(K19="按租金收入计税",'[1]数据-取费表'!B51,'[1]数据-取费表'!B50)</f>
        <v>1.2E-2</v>
      </c>
    </row>
    <row r="20" spans="1:37" s="3278" customFormat="1" ht="18" customHeight="1">
      <c r="A20" s="3261" t="s">
        <v>3012</v>
      </c>
      <c r="B20" s="3220" t="s">
        <v>3056</v>
      </c>
      <c r="C20" s="3266">
        <f ca="1">ROUND(C19*F20,0)</f>
        <v>0</v>
      </c>
      <c r="D20" s="3287" t="s">
        <v>3057</v>
      </c>
      <c r="E20" s="3220" t="s">
        <v>3033</v>
      </c>
      <c r="F20" s="3279">
        <f>'[1]数据-取费表'!B37</f>
        <v>0</v>
      </c>
      <c r="G20" s="3272"/>
      <c r="H20" s="3261" t="s">
        <v>3034</v>
      </c>
      <c r="I20" s="3219" t="s">
        <v>3058</v>
      </c>
      <c r="J20" s="3288">
        <f ca="1">ROUND(M20*M21,0)</f>
        <v>0</v>
      </c>
      <c r="K20" s="3289" t="s">
        <v>3059</v>
      </c>
      <c r="L20" s="3220" t="s">
        <v>3060</v>
      </c>
      <c r="M20" s="3290">
        <f>'[1]数据-取费表'!B52</f>
        <v>0</v>
      </c>
      <c r="N20" s="3277"/>
      <c r="O20" s="3277"/>
      <c r="P20" s="3277"/>
      <c r="Q20" s="3277"/>
      <c r="R20" s="3277"/>
      <c r="S20" s="3277"/>
      <c r="T20" s="3277"/>
      <c r="U20" s="3277"/>
      <c r="V20" s="3277"/>
      <c r="W20" s="3277"/>
      <c r="X20" s="3277"/>
      <c r="Y20" s="3277"/>
      <c r="Z20" s="3277"/>
      <c r="AA20" s="3277"/>
      <c r="AB20" s="3277"/>
      <c r="AC20" s="3277"/>
      <c r="AD20" s="3277"/>
      <c r="AE20" s="3277"/>
      <c r="AF20" s="3277"/>
      <c r="AG20" s="3277"/>
      <c r="AH20" s="3277"/>
      <c r="AI20" s="3277"/>
      <c r="AJ20" s="3277"/>
      <c r="AK20" s="3277"/>
    </row>
    <row r="21" spans="1:37" s="3278" customFormat="1" ht="18" customHeight="1">
      <c r="A21" s="3261" t="s">
        <v>3020</v>
      </c>
      <c r="B21" s="3220" t="s">
        <v>3061</v>
      </c>
      <c r="C21" s="3266" t="s">
        <v>3062</v>
      </c>
      <c r="D21" s="3287" t="s">
        <v>3063</v>
      </c>
      <c r="E21" s="3220" t="s">
        <v>3064</v>
      </c>
      <c r="F21" s="3279">
        <f>'[1]数据-取费表'!B38</f>
        <v>0</v>
      </c>
      <c r="G21" s="3272"/>
      <c r="H21" s="3291"/>
      <c r="I21" s="3292"/>
      <c r="J21" s="3293"/>
      <c r="K21" s="3294"/>
      <c r="L21" s="3220" t="s">
        <v>3065</v>
      </c>
      <c r="M21" s="3221">
        <f ca="1">INDIRECT("'数据-取费表'!r"&amp;$G$1)</f>
        <v>14430.619999999999</v>
      </c>
      <c r="N21" s="3277"/>
      <c r="O21" s="3277"/>
      <c r="P21" s="3277"/>
      <c r="Q21" s="3277"/>
      <c r="R21" s="3277"/>
      <c r="S21" s="3277"/>
      <c r="T21" s="3277"/>
      <c r="U21" s="3277"/>
      <c r="V21" s="3277"/>
      <c r="W21" s="3277"/>
      <c r="X21" s="3277"/>
      <c r="Y21" s="3277"/>
      <c r="Z21" s="3277"/>
      <c r="AA21" s="3277"/>
      <c r="AB21" s="3277"/>
      <c r="AC21" s="3277"/>
      <c r="AD21" s="3277"/>
      <c r="AE21" s="3277"/>
      <c r="AF21" s="3277"/>
      <c r="AG21" s="3277"/>
      <c r="AH21" s="3277"/>
      <c r="AI21" s="3277"/>
      <c r="AJ21" s="3277"/>
      <c r="AK21" s="3277"/>
    </row>
    <row r="22" spans="1:37" ht="18" customHeight="1">
      <c r="A22" s="3261" t="s">
        <v>3066</v>
      </c>
      <c r="B22" s="3220" t="s">
        <v>3067</v>
      </c>
      <c r="C22" s="3266"/>
      <c r="D22" s="3284" t="str">
        <f>IF(F23&lt;=1,"单利计息。","复利计息。")&amp;"建造成本、管理费用、销售费用产生的利息。"</f>
        <v>单利计息。建造成本、管理费用、销售费用产生的利息。</v>
      </c>
      <c r="E22" s="3285"/>
      <c r="F22" s="3281"/>
      <c r="G22" s="3210"/>
      <c r="H22" s="3261" t="s">
        <v>3012</v>
      </c>
      <c r="I22" s="3220" t="s">
        <v>3068</v>
      </c>
      <c r="J22" s="3266">
        <f ca="1">ROUND(J14*M22,0)</f>
        <v>0</v>
      </c>
      <c r="K22" s="3282" t="s">
        <v>3069</v>
      </c>
      <c r="L22" s="3220" t="s">
        <v>3033</v>
      </c>
      <c r="M22" s="3295">
        <f ca="1">INDIRECT("'数据-取费表'!Ak"&amp;$G$1)</f>
        <v>0</v>
      </c>
    </row>
    <row r="23" spans="1:37" s="3278" customFormat="1" ht="18" customHeight="1">
      <c r="A23" s="3261" t="s">
        <v>3025</v>
      </c>
      <c r="B23" s="3220" t="s">
        <v>3070</v>
      </c>
      <c r="C23" s="3266">
        <f ca="1">IF('[1]数据-取费表'!B22&lt;=1,ROUND(C19*F24*F23/2,0)+ROUND(C20*F24*F23/2,0),ROUND(C19*(POWER((1+F24),F23/2)-1),0)+ROUND(C20*(POWER((1+F24),F23/2)-1),0))</f>
        <v>0</v>
      </c>
      <c r="D23" s="3296" t="str">
        <f>IF(F23&lt;=1,"(建造成本+管理费用)×利率×(建设周期÷2)","(建造成本+管理费用)×((1+利率)^(建设周期÷2)-1)")</f>
        <v>(建造成本+管理费用)×利率×(建设周期÷2)</v>
      </c>
      <c r="E23" s="3220" t="s">
        <v>3071</v>
      </c>
      <c r="F23" s="3290">
        <f>'[1]数据-取费表'!B20</f>
        <v>0</v>
      </c>
      <c r="G23" s="3272"/>
      <c r="H23" s="3261" t="s">
        <v>3020</v>
      </c>
      <c r="I23" s="3220" t="s">
        <v>3072</v>
      </c>
      <c r="J23" s="3266">
        <f ca="1">ROUND(J13*M23,0)</f>
        <v>0</v>
      </c>
      <c r="K23" s="3282" t="s">
        <v>3073</v>
      </c>
      <c r="L23" s="3220" t="s">
        <v>3033</v>
      </c>
      <c r="M23" s="3297">
        <f ca="1">INDIRECT("'数据-取费表'!Al"&amp;$G$1)</f>
        <v>0</v>
      </c>
      <c r="N23" s="3277"/>
      <c r="O23" s="3277"/>
      <c r="P23" s="3277"/>
      <c r="Q23" s="3277"/>
      <c r="R23" s="3277"/>
      <c r="S23" s="3277"/>
      <c r="T23" s="3277"/>
      <c r="U23" s="3277"/>
      <c r="V23" s="3277"/>
      <c r="W23" s="3277"/>
      <c r="X23" s="3277"/>
      <c r="Y23" s="3277"/>
      <c r="Z23" s="3277"/>
      <c r="AA23" s="3277"/>
      <c r="AB23" s="3277"/>
      <c r="AC23" s="3277"/>
      <c r="AD23" s="3277"/>
      <c r="AE23" s="3277"/>
      <c r="AF23" s="3277"/>
      <c r="AG23" s="3277"/>
      <c r="AH23" s="3277"/>
      <c r="AI23" s="3277"/>
      <c r="AJ23" s="3277"/>
      <c r="AK23" s="3277"/>
    </row>
    <row r="24" spans="1:37" s="3278" customFormat="1" ht="18" customHeight="1" thickBot="1">
      <c r="A24" s="3261" t="s">
        <v>3074</v>
      </c>
      <c r="B24" s="3220" t="s">
        <v>3075</v>
      </c>
      <c r="C24" s="3266">
        <f>ROUND(IF('[1]数据-取费表'!B22&lt;=1,F21*F24*F23/2,F21*(POWER((1+F24),F23/2)-1)),4)</f>
        <v>0</v>
      </c>
      <c r="D24" s="3296" t="str">
        <f>IF(F23&lt;=1,"销售费用×利率×(建设周期÷2)","销售费用×((1+利率)^(建设周期÷2)-1)")</f>
        <v>销售费用×利率×(建设周期÷2)</v>
      </c>
      <c r="E24" s="3220" t="s">
        <v>3076</v>
      </c>
      <c r="F24" s="3298">
        <f>'[1]数据-取费表'!B40</f>
        <v>0</v>
      </c>
      <c r="G24" s="3272"/>
      <c r="H24" s="3273" t="s">
        <v>3066</v>
      </c>
      <c r="I24" s="3248" t="s">
        <v>3056</v>
      </c>
      <c r="J24" s="3299">
        <f ca="1">ROUND(J5*M24,0)</f>
        <v>0</v>
      </c>
      <c r="K24" s="3300" t="s">
        <v>3077</v>
      </c>
      <c r="L24" s="3248" t="s">
        <v>3033</v>
      </c>
      <c r="M24" s="3249">
        <f ca="1">INDIRECT("'数据-取费表'!Am"&amp;$G$1)</f>
        <v>0</v>
      </c>
      <c r="N24" s="3277"/>
      <c r="O24" s="3277"/>
      <c r="P24" s="3277"/>
      <c r="Q24" s="3277"/>
      <c r="R24" s="3277"/>
      <c r="S24" s="3277"/>
      <c r="T24" s="3277"/>
      <c r="U24" s="3277"/>
      <c r="V24" s="3277"/>
      <c r="W24" s="3277"/>
      <c r="X24" s="3277"/>
      <c r="Y24" s="3277"/>
      <c r="Z24" s="3277"/>
      <c r="AA24" s="3277"/>
      <c r="AB24" s="3277"/>
      <c r="AC24" s="3277"/>
      <c r="AD24" s="3277"/>
      <c r="AE24" s="3277"/>
      <c r="AF24" s="3277"/>
      <c r="AG24" s="3277"/>
      <c r="AH24" s="3277"/>
      <c r="AI24" s="3277"/>
      <c r="AJ24" s="3277"/>
      <c r="AK24" s="3277"/>
    </row>
    <row r="25" spans="1:37" ht="18" customHeight="1" thickTop="1">
      <c r="A25" s="3261" t="s">
        <v>3078</v>
      </c>
      <c r="B25" s="3220" t="s">
        <v>3079</v>
      </c>
      <c r="C25" s="3266"/>
      <c r="D25" s="3284" t="s">
        <v>3080</v>
      </c>
      <c r="E25" s="3285"/>
      <c r="F25" s="3281"/>
      <c r="G25" s="3210"/>
      <c r="H25" s="3252" t="s">
        <v>3081</v>
      </c>
      <c r="I25" s="3301" t="s">
        <v>3082</v>
      </c>
      <c r="J25" s="3254">
        <f ca="1">J5-J16</f>
        <v>-2947750</v>
      </c>
      <c r="K25" s="3302" t="s">
        <v>3083</v>
      </c>
      <c r="L25" s="3303"/>
      <c r="M25" s="3304"/>
    </row>
    <row r="26" spans="1:37" ht="18" customHeight="1">
      <c r="A26" s="3261" t="s">
        <v>3025</v>
      </c>
      <c r="B26" s="3220" t="s">
        <v>3084</v>
      </c>
      <c r="C26" s="3266">
        <f ca="1">ROUND((C19+C20)*F26,0)</f>
        <v>58487112</v>
      </c>
      <c r="D26" s="3287" t="s">
        <v>3085</v>
      </c>
      <c r="E26" s="3231" t="s">
        <v>3086</v>
      </c>
      <c r="F26" s="3230">
        <f ca="1">INDIRECT("'数据-取费表'!q"&amp;$G$1)</f>
        <v>0.2</v>
      </c>
      <c r="G26" s="3210"/>
      <c r="H26" s="3211" t="s">
        <v>3087</v>
      </c>
      <c r="I26" s="3212" t="s">
        <v>3088</v>
      </c>
      <c r="J26" s="3222">
        <f ca="1">IF(J5&lt;&gt;0,ROUND(J25*(1-((1+M28)/(1+M26))^M27)/(M26-M28),0),0)</f>
        <v>0</v>
      </c>
      <c r="K26" s="3289" t="s">
        <v>3089</v>
      </c>
      <c r="L26" s="3220" t="s">
        <v>3090</v>
      </c>
      <c r="M26" s="3230">
        <f ca="1">INDIRECT("'数据-取费表'!I"&amp;$G$1)</f>
        <v>5.5E-2</v>
      </c>
    </row>
    <row r="27" spans="1:37" ht="18" customHeight="1">
      <c r="A27" s="3261" t="s">
        <v>3074</v>
      </c>
      <c r="B27" s="3220" t="s">
        <v>3091</v>
      </c>
      <c r="C27" s="3266">
        <f ca="1">ROUND(F21*F26,4)</f>
        <v>0</v>
      </c>
      <c r="D27" s="3287" t="s">
        <v>3092</v>
      </c>
      <c r="E27" s="3270"/>
      <c r="F27" s="3271"/>
      <c r="G27" s="3210"/>
      <c r="H27" s="3228"/>
      <c r="I27" s="3305"/>
      <c r="J27" s="3229"/>
      <c r="K27" s="3306" t="s">
        <v>3093</v>
      </c>
      <c r="L27" s="3220" t="s">
        <v>3094</v>
      </c>
      <c r="M27" s="3307">
        <f ca="1">INDIRECT("'数据-取费表'!ag"&amp;$G$1)</f>
        <v>0</v>
      </c>
    </row>
    <row r="28" spans="1:37" s="3278" customFormat="1" ht="18" customHeight="1">
      <c r="A28" s="3261" t="s">
        <v>3095</v>
      </c>
      <c r="B28" s="3220" t="s">
        <v>3096</v>
      </c>
      <c r="C28" s="3266">
        <f>ROUND(F28/(1+'[1]数据-取费表'!C42),4)</f>
        <v>0</v>
      </c>
      <c r="D28" s="3287" t="s">
        <v>3097</v>
      </c>
      <c r="E28" s="3220" t="s">
        <v>3033</v>
      </c>
      <c r="F28" s="3279">
        <f>'[1]数据-取费表'!B41</f>
        <v>0</v>
      </c>
      <c r="G28" s="3272"/>
      <c r="H28" s="3238"/>
      <c r="I28" s="3308"/>
      <c r="J28" s="3254"/>
      <c r="K28" s="3294"/>
      <c r="L28" s="3220" t="s">
        <v>3098</v>
      </c>
      <c r="M28" s="3230">
        <f ca="1">INDIRECT("'数据-取费表'!aa"&amp;$G$1)</f>
        <v>0</v>
      </c>
      <c r="N28" s="3277"/>
      <c r="O28" s="3277"/>
      <c r="P28" s="3277"/>
      <c r="Q28" s="3277"/>
      <c r="R28" s="3277"/>
      <c r="S28" s="3277"/>
      <c r="T28" s="3277"/>
      <c r="U28" s="3277"/>
      <c r="V28" s="3277"/>
      <c r="W28" s="3277"/>
      <c r="X28" s="3277"/>
      <c r="Y28" s="3277"/>
      <c r="Z28" s="3277"/>
      <c r="AA28" s="3277"/>
      <c r="AB28" s="3277"/>
      <c r="AC28" s="3277"/>
      <c r="AD28" s="3277"/>
      <c r="AE28" s="3277"/>
      <c r="AF28" s="3277"/>
      <c r="AG28" s="3277"/>
      <c r="AH28" s="3277"/>
      <c r="AI28" s="3277"/>
      <c r="AJ28" s="3277"/>
      <c r="AK28" s="3277"/>
    </row>
    <row r="29" spans="1:37" s="3278" customFormat="1" ht="18" customHeight="1" thickBot="1">
      <c r="A29" s="3273" t="s">
        <v>3099</v>
      </c>
      <c r="B29" s="3248" t="s">
        <v>3100</v>
      </c>
      <c r="C29" s="3299">
        <f ca="1">ROUND((C19+C20+C23+C26)/(1-F21-C24-C27-C28),0)</f>
        <v>350922672</v>
      </c>
      <c r="D29" s="3300"/>
      <c r="E29" s="3248"/>
      <c r="F29" s="3309"/>
      <c r="G29" s="3272"/>
      <c r="H29" s="3310" t="s">
        <v>3101</v>
      </c>
      <c r="I29" s="3311" t="s">
        <v>3102</v>
      </c>
      <c r="J29" s="3312">
        <f ca="1">ROUND(J26/(1+F40)^F41,0)</f>
        <v>0</v>
      </c>
      <c r="K29" s="3313" t="s">
        <v>3103</v>
      </c>
      <c r="L29" s="3314"/>
      <c r="M29" s="3315">
        <f ca="1">INDIRECT("'数据-取费表'!k"&amp;$G$1)</f>
        <v>97478.52</v>
      </c>
      <c r="N29" s="3277"/>
      <c r="O29" s="3277"/>
      <c r="P29" s="3277"/>
      <c r="Q29" s="3277"/>
      <c r="R29" s="3277"/>
      <c r="S29" s="3277"/>
      <c r="T29" s="3277"/>
      <c r="U29" s="3277"/>
      <c r="V29" s="3277"/>
      <c r="W29" s="3277"/>
      <c r="X29" s="3277"/>
      <c r="Y29" s="3277"/>
      <c r="Z29" s="3277"/>
      <c r="AA29" s="3277"/>
      <c r="AB29" s="3277"/>
      <c r="AC29" s="3277"/>
      <c r="AD29" s="3277"/>
      <c r="AE29" s="3277"/>
      <c r="AF29" s="3277"/>
      <c r="AG29" s="3277"/>
      <c r="AH29" s="3277"/>
      <c r="AI29" s="3277"/>
      <c r="AJ29" s="3277"/>
      <c r="AK29" s="3277"/>
    </row>
    <row r="30" spans="1:37" ht="18" customHeight="1" thickTop="1">
      <c r="A30" s="3252" t="s">
        <v>3104</v>
      </c>
      <c r="B30" s="3253" t="s">
        <v>3039</v>
      </c>
      <c r="C30" s="3254">
        <f ca="1">ROUND(C31+C36+C37+C38,0)</f>
        <v>2947750</v>
      </c>
      <c r="D30" s="3258" t="s">
        <v>3040</v>
      </c>
      <c r="E30" s="3280"/>
      <c r="F30" s="3216"/>
      <c r="G30" s="3210"/>
      <c r="H30" s="3316"/>
      <c r="I30" s="3317"/>
      <c r="J30" s="3318"/>
      <c r="K30" s="3242"/>
      <c r="L30" s="3319"/>
      <c r="M30" s="3320"/>
    </row>
    <row r="31" spans="1:37" ht="18" customHeight="1">
      <c r="A31" s="3261" t="s">
        <v>3004</v>
      </c>
      <c r="B31" s="3220" t="s">
        <v>3045</v>
      </c>
      <c r="C31" s="3266">
        <f ca="1">ROUND(IF([1]项目基本情况!B11="自然人",C5*F31,C32+C33+C34),0)</f>
        <v>2947750</v>
      </c>
      <c r="D31" s="3263" t="s">
        <v>3046</v>
      </c>
      <c r="E31" s="3282" t="s">
        <v>3047</v>
      </c>
      <c r="F31" s="3283">
        <f ca="1">IF([1]项目基本情况!B11="企业","",IF(INDIRECT("'数据-取费表'!c"&amp;$G$1)="住宅",5%,IF(F6*F7*F8/12/(1+'[1]数据-取费表'!C42)&gt;20000,12%,7%)))</f>
        <v>7.0000000000000007E-2</v>
      </c>
      <c r="G31" s="3210"/>
      <c r="H31" s="3316"/>
      <c r="I31" s="3317"/>
      <c r="J31" s="3318"/>
      <c r="K31" s="3242"/>
      <c r="L31" s="3319"/>
      <c r="M31" s="3320"/>
    </row>
    <row r="32" spans="1:37" ht="18" customHeight="1">
      <c r="A32" s="3261" t="s">
        <v>3025</v>
      </c>
      <c r="B32" s="3220" t="s">
        <v>3105</v>
      </c>
      <c r="C32" s="3266">
        <f ca="1">IF([1]项目基本情况!B11="自然人","——",ROUND(C5*F32/(1+'[1]数据-取费表'!C42),0))</f>
        <v>0</v>
      </c>
      <c r="D32" s="3282" t="s">
        <v>3106</v>
      </c>
      <c r="E32" s="3220" t="s">
        <v>3033</v>
      </c>
      <c r="F32" s="3298">
        <f>'[1]数据-取费表'!B41</f>
        <v>0</v>
      </c>
      <c r="G32" s="3210"/>
      <c r="H32" s="3316"/>
      <c r="I32" s="3317"/>
      <c r="J32" s="3318"/>
      <c r="K32" s="3242"/>
      <c r="L32" s="3319"/>
      <c r="M32" s="3320"/>
    </row>
    <row r="33" spans="1:18" ht="18" customHeight="1">
      <c r="A33" s="3261" t="s">
        <v>3074</v>
      </c>
      <c r="B33" s="3220" t="s">
        <v>3054</v>
      </c>
      <c r="C33" s="3266">
        <f ca="1">IF([1]项目基本情况!B11="自然人","——",IF(D33="按租金收入计税",ROUND(C5*F33,0),IF(D33="按房产原值计税",ROUND(C29*F33*0.7,0),INDIRECT("'数据-取费表'!Aj"&amp;$G$1))))</f>
        <v>2947750</v>
      </c>
      <c r="D33" s="3286" t="s">
        <v>3055</v>
      </c>
      <c r="E33" s="3220" t="s">
        <v>3033</v>
      </c>
      <c r="F33" s="3279">
        <f>IF(D33="按票据","——",IF(D33="按租金收入计税",'[1]数据-取费表'!B51,'[1]数据-取费表'!B50))</f>
        <v>1.2E-2</v>
      </c>
      <c r="G33" s="3210"/>
      <c r="H33" s="3321"/>
      <c r="I33" s="3322"/>
      <c r="J33" s="3323"/>
      <c r="K33" s="3324"/>
      <c r="L33" s="3321"/>
      <c r="M33" s="3321"/>
    </row>
    <row r="34" spans="1:18" ht="18" customHeight="1">
      <c r="A34" s="3217" t="s">
        <v>3034</v>
      </c>
      <c r="B34" s="3219" t="s">
        <v>3058</v>
      </c>
      <c r="C34" s="3288">
        <f ca="1">IF([1]项目基本情况!B11="自然人","——",ROUND(F34*F35,))</f>
        <v>0</v>
      </c>
      <c r="D34" s="3289" t="s">
        <v>3059</v>
      </c>
      <c r="E34" s="3220" t="s">
        <v>3060</v>
      </c>
      <c r="F34" s="3290">
        <f>'[1]数据-取费表'!B52</f>
        <v>0</v>
      </c>
      <c r="G34" s="3210"/>
      <c r="H34" s="3316"/>
      <c r="I34" s="3322"/>
      <c r="J34" s="3323"/>
      <c r="K34" s="3325"/>
      <c r="L34" s="3326"/>
      <c r="M34" s="3326"/>
    </row>
    <row r="35" spans="1:18" ht="18" customHeight="1">
      <c r="A35" s="3327"/>
      <c r="B35" s="3328"/>
      <c r="C35" s="3293"/>
      <c r="D35" s="3294"/>
      <c r="E35" s="3220" t="s">
        <v>3065</v>
      </c>
      <c r="F35" s="3221">
        <f ca="1">INDIRECT("'数据-取费表'!r"&amp;$G$1)</f>
        <v>14430.619999999999</v>
      </c>
      <c r="G35" s="3210"/>
      <c r="H35" s="3316"/>
      <c r="I35" s="3322"/>
      <c r="J35" s="3323"/>
      <c r="K35" s="3324"/>
      <c r="L35" s="3321"/>
      <c r="M35" s="3321"/>
    </row>
    <row r="36" spans="1:18" ht="18" customHeight="1">
      <c r="A36" s="3329" t="s">
        <v>3012</v>
      </c>
      <c r="B36" s="3220" t="s">
        <v>3068</v>
      </c>
      <c r="C36" s="3266">
        <f ca="1">ROUND(C29*F36,0)</f>
        <v>0</v>
      </c>
      <c r="D36" s="3282" t="s">
        <v>3107</v>
      </c>
      <c r="E36" s="3220" t="s">
        <v>3033</v>
      </c>
      <c r="F36" s="3295">
        <f ca="1">INDIRECT("'数据-取费表'!Ak"&amp;$G$1)</f>
        <v>0</v>
      </c>
      <c r="G36" s="3210"/>
      <c r="H36" s="3321"/>
      <c r="I36" s="3322"/>
      <c r="J36" s="3323"/>
      <c r="K36" s="3330"/>
      <c r="L36" s="3321"/>
      <c r="M36" s="3321"/>
    </row>
    <row r="37" spans="1:18" ht="18" customHeight="1">
      <c r="A37" s="3261" t="s">
        <v>3020</v>
      </c>
      <c r="B37" s="3220" t="s">
        <v>3072</v>
      </c>
      <c r="C37" s="3266">
        <f ca="1">ROUND(C13*F37,0)</f>
        <v>0</v>
      </c>
      <c r="D37" s="3282" t="s">
        <v>3073</v>
      </c>
      <c r="E37" s="3220" t="s">
        <v>3033</v>
      </c>
      <c r="F37" s="3297">
        <f ca="1">INDIRECT("'数据-取费表'!Al"&amp;$G$1)</f>
        <v>0</v>
      </c>
      <c r="G37" s="3210"/>
      <c r="H37" s="3321"/>
      <c r="I37" s="3322"/>
      <c r="J37" s="3323"/>
      <c r="K37" s="3330"/>
      <c r="L37" s="3321"/>
      <c r="M37" s="3321"/>
    </row>
    <row r="38" spans="1:18" ht="18" customHeight="1" thickBot="1">
      <c r="A38" s="3273" t="s">
        <v>3066</v>
      </c>
      <c r="B38" s="3248" t="s">
        <v>3056</v>
      </c>
      <c r="C38" s="3299">
        <f ca="1">ROUND(C5*F38,1)</f>
        <v>0</v>
      </c>
      <c r="D38" s="3300" t="s">
        <v>3077</v>
      </c>
      <c r="E38" s="3248" t="s">
        <v>3033</v>
      </c>
      <c r="F38" s="3249">
        <f ca="1">INDIRECT("'数据-取费表'!Am"&amp;$G$1)</f>
        <v>0</v>
      </c>
      <c r="G38" s="3210"/>
      <c r="H38" s="3321"/>
      <c r="I38" s="3322"/>
      <c r="J38" s="3323"/>
      <c r="K38" s="3331"/>
      <c r="L38" s="3321"/>
      <c r="M38" s="3321"/>
    </row>
    <row r="39" spans="1:18" ht="24.6" customHeight="1" thickTop="1">
      <c r="A39" s="3252" t="s">
        <v>3081</v>
      </c>
      <c r="B39" s="3301" t="s">
        <v>3082</v>
      </c>
      <c r="C39" s="3254">
        <f ca="1">C5-C30</f>
        <v>-2947750</v>
      </c>
      <c r="D39" s="3302" t="s">
        <v>3083</v>
      </c>
      <c r="E39" s="3303"/>
      <c r="F39" s="3304"/>
      <c r="G39" s="3210"/>
      <c r="H39" s="3321"/>
      <c r="I39" s="3322"/>
      <c r="J39" s="3323"/>
      <c r="K39" s="3331"/>
      <c r="L39" s="3321"/>
      <c r="M39" s="3321"/>
    </row>
    <row r="40" spans="1:18" ht="18" customHeight="1">
      <c r="A40" s="3211" t="s">
        <v>3087</v>
      </c>
      <c r="B40" s="3212" t="s">
        <v>3108</v>
      </c>
      <c r="C40" s="3222">
        <f ca="1">ROUND(C39*(1-((1+F42)/(1+F40))^F41)/(F40-F42),0)</f>
        <v>0</v>
      </c>
      <c r="D40" s="3289" t="s">
        <v>3089</v>
      </c>
      <c r="E40" s="3220" t="s">
        <v>3090</v>
      </c>
      <c r="F40" s="3230">
        <f ca="1">INDIRECT("'数据-取费表'!I"&amp;$G$1)</f>
        <v>5.5E-2</v>
      </c>
      <c r="G40" s="3210"/>
      <c r="H40" s="3332"/>
      <c r="I40" s="3322"/>
      <c r="J40" s="3323"/>
      <c r="K40" s="3331"/>
      <c r="L40" s="3332"/>
      <c r="M40" s="3332"/>
    </row>
    <row r="41" spans="1:18" ht="18" customHeight="1">
      <c r="A41" s="3228"/>
      <c r="B41" s="3305"/>
      <c r="C41" s="3229"/>
      <c r="D41" s="3306" t="s">
        <v>3093</v>
      </c>
      <c r="E41" s="3220" t="s">
        <v>3094</v>
      </c>
      <c r="F41" s="3307">
        <f ca="1">IF(INDIRECT("'数据-取费表'!af"&amp;$G$1)=0,INDIRECT("'数据-取费表'!ae"&amp;$G$1),INDIRECT("'数据-取费表'!af"&amp;$G$1))</f>
        <v>0</v>
      </c>
      <c r="G41" s="3210"/>
      <c r="H41" s="3333"/>
      <c r="I41" s="3322"/>
      <c r="J41" s="3323"/>
      <c r="K41" s="3330"/>
      <c r="L41" s="3333"/>
      <c r="M41" s="3333"/>
    </row>
    <row r="42" spans="1:18" ht="18" customHeight="1">
      <c r="A42" s="3238"/>
      <c r="B42" s="3308"/>
      <c r="C42" s="3254"/>
      <c r="D42" s="3294"/>
      <c r="E42" s="3220" t="s">
        <v>3098</v>
      </c>
      <c r="F42" s="3230">
        <f ca="1">INDIRECT("'数据-取费表'!v"&amp;$G$1)</f>
        <v>0</v>
      </c>
      <c r="G42" s="3210"/>
      <c r="H42" s="3333"/>
      <c r="I42" s="3322"/>
      <c r="J42" s="3323"/>
      <c r="K42" s="3330"/>
      <c r="L42" s="3333"/>
      <c r="M42" s="3333"/>
    </row>
    <row r="43" spans="1:18" ht="18" customHeight="1" thickBot="1">
      <c r="A43" s="3310" t="s">
        <v>3101</v>
      </c>
      <c r="B43" s="3311" t="s">
        <v>3109</v>
      </c>
      <c r="C43" s="3312">
        <f ca="1">ROUND(C40/F43,0)</f>
        <v>0</v>
      </c>
      <c r="D43" s="3313" t="s">
        <v>3110</v>
      </c>
      <c r="E43" s="3314" t="s">
        <v>3111</v>
      </c>
      <c r="F43" s="3315">
        <f ca="1">INDIRECT("'数据-取费表'!k"&amp;$G$1)</f>
        <v>97478.52</v>
      </c>
      <c r="G43" s="3210"/>
      <c r="H43" s="3333"/>
      <c r="I43" s="3333"/>
      <c r="J43" s="3333"/>
      <c r="K43" s="3330"/>
      <c r="L43" s="3333"/>
      <c r="M43" s="3333"/>
    </row>
    <row r="44" spans="1:18" s="3201" customFormat="1" ht="18" customHeight="1">
      <c r="A44" s="3334"/>
      <c r="B44" s="3334"/>
      <c r="C44" s="3335"/>
      <c r="D44" s="3334"/>
      <c r="E44" s="3334"/>
      <c r="F44" s="3334"/>
      <c r="K44" s="3336"/>
    </row>
    <row r="45" spans="1:18" s="3201" customFormat="1" ht="18" customHeight="1" thickBot="1">
      <c r="A45" s="3334"/>
      <c r="B45" s="3334"/>
      <c r="C45" s="3337">
        <f ca="1">C68-C40</f>
        <v>0</v>
      </c>
      <c r="D45" s="3338" t="s">
        <v>3112</v>
      </c>
      <c r="E45" s="3334"/>
      <c r="F45" s="3334"/>
      <c r="O45" s="3339" t="s">
        <v>3113</v>
      </c>
      <c r="P45" s="3332"/>
      <c r="Q45" s="3332"/>
      <c r="R45" s="3332"/>
    </row>
    <row r="46" spans="1:18" s="3201" customFormat="1" ht="13.5" thickBot="1">
      <c r="A46" s="3340" t="s">
        <v>3114</v>
      </c>
      <c r="C46" s="3341">
        <f ca="1">ROUND(C45/10000,0)</f>
        <v>0</v>
      </c>
      <c r="D46" s="3342" t="str">
        <f>C2</f>
        <v>万元</v>
      </c>
      <c r="I46" s="3343" t="s">
        <v>3115</v>
      </c>
      <c r="J46" s="3344"/>
      <c r="K46" s="3345"/>
      <c r="L46" s="3346" t="e">
        <f ca="1">IF(M47="住宅",0,IF(L48&gt;J51,L60,J60))</f>
        <v>#DIV/0!</v>
      </c>
      <c r="O46" s="3347" t="s">
        <v>3116</v>
      </c>
      <c r="P46" s="3348" t="s">
        <v>3117</v>
      </c>
      <c r="Q46" s="3349" t="s">
        <v>3118</v>
      </c>
      <c r="R46" s="3349" t="s">
        <v>3119</v>
      </c>
    </row>
    <row r="47" spans="1:18" s="3201" customFormat="1" ht="13.5" thickBot="1">
      <c r="A47" s="3350" t="s">
        <v>2998</v>
      </c>
      <c r="B47" s="3351" t="s">
        <v>2999</v>
      </c>
      <c r="C47" s="3351" t="s">
        <v>3000</v>
      </c>
      <c r="D47" s="3351" t="s">
        <v>3001</v>
      </c>
      <c r="E47" s="3352" t="s">
        <v>2997</v>
      </c>
      <c r="F47" s="3353"/>
      <c r="G47" s="3354"/>
      <c r="I47" s="3355" t="s">
        <v>3120</v>
      </c>
      <c r="J47" s="3356"/>
      <c r="K47" s="3357" t="s">
        <v>3121</v>
      </c>
      <c r="L47" s="3358">
        <f ca="1">INDIRECT("'数据-取费表'!d"&amp;$G$1)</f>
        <v>40</v>
      </c>
      <c r="M47" s="3359" t="str">
        <f>IF(ISNUMBER(FIND("住宅",C1)),"住宅","非住宅")</f>
        <v>非住宅</v>
      </c>
      <c r="O47" s="3360" t="s">
        <v>2384</v>
      </c>
      <c r="P47" s="3361" t="s">
        <v>3122</v>
      </c>
      <c r="Q47" s="3362">
        <f ca="1">C40+J29</f>
        <v>0</v>
      </c>
      <c r="R47" s="3362" t="s">
        <v>3123</v>
      </c>
    </row>
    <row r="48" spans="1:18" s="3201" customFormat="1" ht="28.5" thickBot="1">
      <c r="A48" s="3363" t="s">
        <v>3124</v>
      </c>
      <c r="B48" s="3212" t="s">
        <v>3002</v>
      </c>
      <c r="C48" s="3364">
        <f ca="1">C49+C53+C55</f>
        <v>0</v>
      </c>
      <c r="D48" s="3365"/>
      <c r="E48" s="3366"/>
      <c r="F48" s="3367"/>
      <c r="G48" s="3354"/>
      <c r="H48" s="3368"/>
      <c r="I48" s="3369" t="s">
        <v>3125</v>
      </c>
      <c r="J48" s="3370"/>
      <c r="K48" s="3371" t="s">
        <v>3126</v>
      </c>
      <c r="L48" s="3372">
        <f ca="1">INDIRECT("'数据-取费表'!f"&amp;$G$1)</f>
        <v>36.049999999999997</v>
      </c>
      <c r="O48" s="3360" t="s">
        <v>2386</v>
      </c>
      <c r="P48" s="3361" t="s">
        <v>3127</v>
      </c>
      <c r="Q48" s="3362" t="str">
        <f ca="1">J60</f>
        <v>0</v>
      </c>
      <c r="R48" s="3362" t="s">
        <v>3128</v>
      </c>
    </row>
    <row r="49" spans="1:18" s="3201" customFormat="1" ht="13.5" thickBot="1">
      <c r="A49" s="3373" t="s">
        <v>3129</v>
      </c>
      <c r="B49" s="3374" t="s">
        <v>3130</v>
      </c>
      <c r="C49" s="3375">
        <f ca="1">ROUND(F49*F51*F50*(1-F52),0)</f>
        <v>0</v>
      </c>
      <c r="D49" s="3376" t="s">
        <v>3131</v>
      </c>
      <c r="E49" s="3377" t="s">
        <v>3132</v>
      </c>
      <c r="F49" s="3378"/>
      <c r="G49" s="3379"/>
      <c r="H49" s="3368"/>
      <c r="I49" s="3369" t="s">
        <v>3133</v>
      </c>
      <c r="J49" s="3380"/>
      <c r="K49" s="3371" t="s">
        <v>3134</v>
      </c>
      <c r="L49" s="3381"/>
      <c r="O49" s="3382" t="s">
        <v>2388</v>
      </c>
      <c r="P49" s="3361" t="s">
        <v>3135</v>
      </c>
      <c r="Q49" s="3362">
        <f ca="1">C29</f>
        <v>350922672</v>
      </c>
      <c r="R49" s="3362" t="s">
        <v>3123</v>
      </c>
    </row>
    <row r="50" spans="1:18" s="3201" customFormat="1" ht="13.5" thickBot="1">
      <c r="A50" s="3383"/>
      <c r="B50" s="3384"/>
      <c r="C50" s="3385"/>
      <c r="D50" s="3386"/>
      <c r="E50" s="3387" t="s">
        <v>3009</v>
      </c>
      <c r="F50" s="3388">
        <f ca="1">F7</f>
        <v>97478.52</v>
      </c>
      <c r="H50" s="3368"/>
      <c r="I50" s="3369" t="s">
        <v>3136</v>
      </c>
      <c r="J50" s="3389">
        <f>SUMPRODUCT((I63:I65=J47)*(J62:L62=J48)*(J63:L65))</f>
        <v>0</v>
      </c>
      <c r="K50" s="3371" t="s">
        <v>3137</v>
      </c>
      <c r="L50" s="3381"/>
      <c r="M50" s="3390"/>
      <c r="O50" s="3382" t="s">
        <v>2389</v>
      </c>
      <c r="P50" s="3361" t="s">
        <v>3138</v>
      </c>
      <c r="Q50" s="3391" t="e">
        <f ca="1">J58</f>
        <v>#VALUE!</v>
      </c>
      <c r="R50" s="3362"/>
    </row>
    <row r="51" spans="1:18" s="3201" customFormat="1" ht="13.5" thickBot="1">
      <c r="A51" s="3392"/>
      <c r="B51" s="3384"/>
      <c r="C51" s="3385"/>
      <c r="D51" s="3386"/>
      <c r="E51" s="3393" t="s">
        <v>3010</v>
      </c>
      <c r="F51" s="3221">
        <f ca="1">F8</f>
        <v>0</v>
      </c>
      <c r="I51" s="3394" t="s">
        <v>3139</v>
      </c>
      <c r="J51" s="3395">
        <f>IF(J49="",J50,J49+J50-YEAR('[1]数据-取费表'!B2))</f>
        <v>0</v>
      </c>
      <c r="K51" s="3396" t="s">
        <v>3140</v>
      </c>
      <c r="L51" s="3397">
        <f ca="1">ROUND(-PV(INDIRECT("'数据-取费表'!h"&amp;$G$1),L48,(C39-C13*C76),0),0)</f>
        <v>-48800784</v>
      </c>
      <c r="M51" s="3398"/>
      <c r="O51" s="3382" t="s">
        <v>2391</v>
      </c>
      <c r="P51" s="3361" t="s">
        <v>3141</v>
      </c>
      <c r="Q51" s="3391">
        <f>J52</f>
        <v>0</v>
      </c>
      <c r="R51" s="3362"/>
    </row>
    <row r="52" spans="1:18" s="3201" customFormat="1" ht="13.5" thickBot="1">
      <c r="A52" s="3392"/>
      <c r="B52" s="3384"/>
      <c r="C52" s="3385"/>
      <c r="D52" s="3386"/>
      <c r="E52" s="3393" t="s">
        <v>3011</v>
      </c>
      <c r="F52" s="3399"/>
      <c r="I52" s="3400" t="s">
        <v>3142</v>
      </c>
      <c r="J52" s="3401"/>
      <c r="K52" s="3400" t="s">
        <v>3143</v>
      </c>
      <c r="L52" s="3401"/>
      <c r="O52" s="3382" t="s">
        <v>2393</v>
      </c>
      <c r="P52" s="3361" t="s">
        <v>3144</v>
      </c>
      <c r="Q52" s="3362" t="b">
        <f>J53</f>
        <v>0</v>
      </c>
      <c r="R52" s="3362" t="s">
        <v>3145</v>
      </c>
    </row>
    <row r="53" spans="1:18" s="3201" customFormat="1" ht="30.75" customHeight="1" thickBot="1">
      <c r="A53" s="3402" t="s">
        <v>3146</v>
      </c>
      <c r="B53" s="3287" t="s">
        <v>3013</v>
      </c>
      <c r="C53" s="3234">
        <f>ROUND(IF(F53="押一",F49*F51*F50/12*F11,IF(F53="押二",F49*F51*F50/12*2*F11,IF(F53="押三",F49*F51*F50/12*3*F11,C54*F11))),0)</f>
        <v>0</v>
      </c>
      <c r="D53" s="3235" t="s">
        <v>3147</v>
      </c>
      <c r="E53" s="3231" t="s">
        <v>3015</v>
      </c>
      <c r="F53" s="3236"/>
      <c r="I53" s="3403" t="s">
        <v>3148</v>
      </c>
      <c r="J53" s="3404" t="b">
        <f>IF(M47="住宅",J51,IF(D1="——",MIN(J51,L48),IF(D1="在建（套用方法）",MIN(J51,L48-'[1]数据-取费表'!B24),IF(D1="土地（套用方法）",MIN(J51,L48-'[1]数据-取费表'!B20)))))</f>
        <v>0</v>
      </c>
      <c r="K53" s="3484" t="s">
        <v>3149</v>
      </c>
      <c r="L53" s="3485"/>
      <c r="O53" s="3360" t="s">
        <v>2396</v>
      </c>
      <c r="P53" s="3361" t="s">
        <v>3150</v>
      </c>
      <c r="Q53" s="3362">
        <f ca="1">Q47+Q48</f>
        <v>0</v>
      </c>
      <c r="R53" s="3362" t="s">
        <v>2397</v>
      </c>
    </row>
    <row r="54" spans="1:18" s="3201" customFormat="1" ht="13.5" thickBot="1">
      <c r="A54" s="3373"/>
      <c r="B54" s="3405" t="s">
        <v>3019</v>
      </c>
      <c r="C54" s="3240"/>
      <c r="D54" s="3235"/>
      <c r="E54" s="3406"/>
      <c r="F54" s="3407"/>
      <c r="I54" s="34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9"/>
      <c r="K54" s="3409"/>
      <c r="L54" s="3409"/>
      <c r="M54" s="3379"/>
      <c r="O54" s="3339" t="s">
        <v>3151</v>
      </c>
      <c r="P54" s="3332"/>
      <c r="Q54" s="3332"/>
      <c r="R54" s="3332"/>
    </row>
    <row r="55" spans="1:18" s="3201" customFormat="1" ht="13.5" thickBot="1">
      <c r="A55" s="3244" t="s">
        <v>3020</v>
      </c>
      <c r="B55" s="3245" t="s">
        <v>3021</v>
      </c>
      <c r="C55" s="3246"/>
      <c r="D55" s="3235"/>
      <c r="E55" s="3406"/>
      <c r="F55" s="3407"/>
      <c r="I55" s="3410" t="s">
        <v>3152</v>
      </c>
      <c r="J55" s="3411" t="e">
        <f ca="1">ROUND(IF(J47="钢混",J57/J50,1-(1-2%)*(J50-J57)/J50),3)</f>
        <v>#VALUE!</v>
      </c>
      <c r="K55" s="3412" t="s">
        <v>3153</v>
      </c>
      <c r="L55" s="3413"/>
      <c r="O55" s="3347" t="s">
        <v>3116</v>
      </c>
      <c r="P55" s="3348" t="s">
        <v>3117</v>
      </c>
      <c r="Q55" s="3349" t="s">
        <v>3118</v>
      </c>
      <c r="R55" s="3349" t="s">
        <v>3119</v>
      </c>
    </row>
    <row r="56" spans="1:18" s="3201" customFormat="1" ht="36" customHeight="1" thickTop="1" thickBot="1">
      <c r="A56" s="3414">
        <v>2</v>
      </c>
      <c r="B56" s="3415" t="s">
        <v>3022</v>
      </c>
      <c r="C56" s="3416">
        <f ca="1">C13</f>
        <v>0</v>
      </c>
      <c r="D56" s="3417"/>
      <c r="E56" s="3418"/>
      <c r="F56" s="3407"/>
      <c r="I56" s="3419" t="s">
        <v>3154</v>
      </c>
      <c r="J56" s="3420"/>
      <c r="K56" s="3369" t="s">
        <v>3155</v>
      </c>
      <c r="L56" s="3372">
        <f ca="1">IF(L48&lt;J51,"——",L48-J51)</f>
        <v>36.049999999999997</v>
      </c>
      <c r="O56" s="3360" t="s">
        <v>2384</v>
      </c>
      <c r="P56" s="3361" t="s">
        <v>3122</v>
      </c>
      <c r="Q56" s="3362">
        <f ca="1">C40+J29</f>
        <v>0</v>
      </c>
      <c r="R56" s="3362" t="s">
        <v>3123</v>
      </c>
    </row>
    <row r="57" spans="1:18" s="3201" customFormat="1" ht="24.75" thickBot="1">
      <c r="A57" s="3421"/>
      <c r="B57" s="3422" t="s">
        <v>3100</v>
      </c>
      <c r="C57" s="3423">
        <f ca="1">C29</f>
        <v>350922672</v>
      </c>
      <c r="D57" s="3424"/>
      <c r="E57" s="3425"/>
      <c r="F57" s="3426"/>
      <c r="I57" s="3427" t="s">
        <v>3156</v>
      </c>
      <c r="J57" s="3428" t="str">
        <f ca="1">IF(OR(M47="住宅",J51&lt;L48,J56="是"),"——",J51-L48)</f>
        <v>——</v>
      </c>
      <c r="K57" s="3369" t="s">
        <v>3157</v>
      </c>
      <c r="L57" s="3372">
        <f ca="1">IF(L48&lt;J51,"——",IF(L55="比较法",L49,IF(L55="基准地价",L50,L51)))</f>
        <v>-48800784</v>
      </c>
      <c r="O57" s="3360" t="s">
        <v>2386</v>
      </c>
      <c r="P57" s="3361" t="s">
        <v>3158</v>
      </c>
      <c r="Q57" s="3362" t="e">
        <f ca="1">L60</f>
        <v>#DIV/0!</v>
      </c>
      <c r="R57" s="3362" t="s">
        <v>3159</v>
      </c>
    </row>
    <row r="58" spans="1:18" s="3201" customFormat="1" ht="24.75" thickBot="1">
      <c r="A58" s="3429" t="s">
        <v>3104</v>
      </c>
      <c r="B58" s="3415" t="s">
        <v>3039</v>
      </c>
      <c r="C58" s="3234">
        <f ca="1">ROUND(C59+C64+C65+C66,0)</f>
        <v>2947750</v>
      </c>
      <c r="D58" s="3430" t="s">
        <v>3040</v>
      </c>
      <c r="E58" s="3431"/>
      <c r="F58" s="3367"/>
      <c r="I58" s="3427" t="s">
        <v>3160</v>
      </c>
      <c r="J58" s="3432" t="e">
        <f ca="1">IF(J55&lt;0.4,0.4,J55)</f>
        <v>#VALUE!</v>
      </c>
      <c r="K58" s="3396" t="s">
        <v>3161</v>
      </c>
      <c r="L58" s="3372" t="e">
        <f ca="1">ROUND(POWER(1+L52,L47-L48)*(POWER(1+L52,L48)-1)/(POWER(1+L52,L47)-1),4)</f>
        <v>#DIV/0!</v>
      </c>
      <c r="O58" s="3382" t="s">
        <v>2388</v>
      </c>
      <c r="P58" s="3361" t="s">
        <v>3162</v>
      </c>
      <c r="Q58" s="3362">
        <f>IF(L55="比较法",L49,IF(L55="基准地价",L50,0))</f>
        <v>0</v>
      </c>
      <c r="R58" s="3362" t="s">
        <v>3123</v>
      </c>
    </row>
    <row r="59" spans="1:18" s="3201" customFormat="1" ht="24.75" thickBot="1">
      <c r="A59" s="3261" t="s">
        <v>3004</v>
      </c>
      <c r="B59" s="3422" t="s">
        <v>3045</v>
      </c>
      <c r="C59" s="3266">
        <f ca="1">ROUND(IF([1]项目基本情况!B11="自然人",C48*F59,C60+C61+C62),0)</f>
        <v>2947750</v>
      </c>
      <c r="D59" s="3433" t="s">
        <v>3046</v>
      </c>
      <c r="E59" s="3434" t="s">
        <v>3047</v>
      </c>
      <c r="F59" s="3283">
        <f ca="1">IF([1]项目基本情况!B11="企业","",IF(INDIRECT("'数据-取费表'!c"&amp;$G$1)="住宅",5%,IF(F49*F50*F51/12/(1+'[1]数据-取费表'!C42)&gt;20000,12%,7%)))</f>
        <v>7.0000000000000007E-2</v>
      </c>
      <c r="I59" s="3427" t="s">
        <v>3163</v>
      </c>
      <c r="J59" s="3428" t="str">
        <f ca="1">IF(OR(M47="住宅",J51&lt;L48,J56="是"),"——",ROUND(C29*J58,0))</f>
        <v>——</v>
      </c>
      <c r="K59" s="336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2" t="e">
        <f ca="1">ROUND(IF(D1="在建（套用方法）",M59,IF(D1="土地（套用方法）",N59,POWER(1+L52,L47-J51)*(POWER(1+L52,J51)-1)/(POWER(1+L52,L47)-1))),4)</f>
        <v>#DIV/0!</v>
      </c>
      <c r="M59" s="3332" t="e">
        <f ca="1">ROUND(POWER(1+L52,L47-(J51+'[1]数据-取费表'!B24))*(POWER(1+L52,(J51+'[1]数据-取费表'!B24))-1)/(POWER(1+L52,L47)-1),4)</f>
        <v>#DIV/0!</v>
      </c>
      <c r="N59" s="3332" t="e">
        <f ca="1">ROUND(POWER(1+L52,L47-(J51+'[1]数据-取费表'!B20))*(POWER(1+L52,(J51+'[1]数据-取费表'!B20))-1)/(POWER(1+L52,L47)-1),4)</f>
        <v>#DIV/0!</v>
      </c>
      <c r="O59" s="3382" t="s">
        <v>2389</v>
      </c>
      <c r="P59" s="3361" t="s">
        <v>3164</v>
      </c>
      <c r="Q59" s="3391">
        <f>L52</f>
        <v>0</v>
      </c>
      <c r="R59" s="3362"/>
    </row>
    <row r="60" spans="1:18" s="3201" customFormat="1" ht="16.5" thickBot="1">
      <c r="A60" s="3261" t="s">
        <v>3025</v>
      </c>
      <c r="B60" s="3422" t="s">
        <v>3105</v>
      </c>
      <c r="C60" s="3266">
        <f ca="1">IF([1]项目基本情况!B11="自然人","——",ROUND(C48*F60/(1+'[1]数据-取费表'!C42),0))</f>
        <v>0</v>
      </c>
      <c r="D60" s="3434" t="s">
        <v>3106</v>
      </c>
      <c r="E60" s="3422" t="s">
        <v>3033</v>
      </c>
      <c r="F60" s="3298">
        <f t="shared" ref="F60:F66" si="0">F32</f>
        <v>0</v>
      </c>
      <c r="I60" s="3435" t="s">
        <v>3165</v>
      </c>
      <c r="J60" s="3436" t="str">
        <f ca="1">IF(OR(M47="住宅",J51&lt;L48,J56="是"),"0",ROUND(J59/(1+J52)^J53,0))</f>
        <v>0</v>
      </c>
      <c r="K60" s="3437" t="s">
        <v>3166</v>
      </c>
      <c r="L60" s="3436" t="e">
        <f ca="1">IF(OR(M47="住宅",L48&lt;J51),0,ROUND(L57*(L58/L59-1),0))</f>
        <v>#DIV/0!</v>
      </c>
      <c r="O60" s="3382" t="s">
        <v>2391</v>
      </c>
      <c r="P60" s="3361" t="s">
        <v>3167</v>
      </c>
      <c r="Q60" s="3362" t="e">
        <f ca="1">L58</f>
        <v>#DIV/0!</v>
      </c>
      <c r="R60" s="3362" t="s">
        <v>3168</v>
      </c>
    </row>
    <row r="61" spans="1:18" s="3201" customFormat="1" ht="13.5" thickBot="1">
      <c r="A61" s="3261" t="s">
        <v>3169</v>
      </c>
      <c r="B61" s="3422" t="s">
        <v>3054</v>
      </c>
      <c r="C61" s="3266">
        <f ca="1">IF([1]项目基本情况!B11="自然人","——",IF(D61="按租金收入计税",ROUND(C48*F61,0),IF(D61="按房产原值计税",ROUND(C57*F61*0.7,0),INDIRECT("'数据-取费表'!Aj"&amp;$G$1))))</f>
        <v>2947750</v>
      </c>
      <c r="D61" s="3286" t="s">
        <v>3055</v>
      </c>
      <c r="E61" s="3422" t="s">
        <v>3033</v>
      </c>
      <c r="F61" s="3279">
        <f t="shared" si="0"/>
        <v>1.2E-2</v>
      </c>
      <c r="I61" s="3438"/>
      <c r="J61" s="3438"/>
      <c r="K61" s="3438"/>
      <c r="L61" s="3438"/>
      <c r="O61" s="3382" t="s">
        <v>2393</v>
      </c>
      <c r="P61" s="3361" t="str">
        <f>K59</f>
        <v>建设期及建筑物耐用年限下的土地年期修正系数Kn</v>
      </c>
      <c r="Q61" s="3362" t="e">
        <f ca="1">L59</f>
        <v>#DIV/0!</v>
      </c>
      <c r="R61" s="3362" t="s">
        <v>3170</v>
      </c>
    </row>
    <row r="62" spans="1:18" s="3201" customFormat="1" ht="13.5" thickBot="1">
      <c r="A62" s="3261" t="s">
        <v>3171</v>
      </c>
      <c r="B62" s="3439" t="s">
        <v>3058</v>
      </c>
      <c r="C62" s="3288">
        <f ca="1">IF([1]项目基本情况!B11="自然人","——",ROUND(F62*F63,0))</f>
        <v>0</v>
      </c>
      <c r="D62" s="3440" t="s">
        <v>3059</v>
      </c>
      <c r="E62" s="3422" t="s">
        <v>3060</v>
      </c>
      <c r="F62" s="3290">
        <f t="shared" si="0"/>
        <v>0</v>
      </c>
      <c r="I62" s="3441" t="s">
        <v>3172</v>
      </c>
      <c r="J62" s="3442" t="s">
        <v>3173</v>
      </c>
      <c r="K62" s="3442" t="s">
        <v>3174</v>
      </c>
      <c r="L62" s="3442" t="s">
        <v>3175</v>
      </c>
      <c r="M62" s="3443" t="s">
        <v>3176</v>
      </c>
      <c r="O62" s="3360" t="s">
        <v>2396</v>
      </c>
      <c r="P62" s="3361" t="s">
        <v>3150</v>
      </c>
      <c r="Q62" s="3362" t="e">
        <f ca="1">Q56+Q57</f>
        <v>#DIV/0!</v>
      </c>
      <c r="R62" s="3362" t="s">
        <v>2397</v>
      </c>
    </row>
    <row r="63" spans="1:18" s="3201" customFormat="1" ht="13.5" thickBot="1">
      <c r="A63" s="3291"/>
      <c r="B63" s="3444"/>
      <c r="C63" s="3293"/>
      <c r="D63" s="3445"/>
      <c r="E63" s="3422" t="s">
        <v>3065</v>
      </c>
      <c r="F63" s="3221">
        <f t="shared" ca="1" si="0"/>
        <v>14430.619999999999</v>
      </c>
      <c r="I63" s="3441" t="s">
        <v>3177</v>
      </c>
      <c r="J63" s="3442">
        <v>70</v>
      </c>
      <c r="K63" s="3442">
        <v>50</v>
      </c>
      <c r="L63" s="3442">
        <v>80</v>
      </c>
      <c r="M63" s="3446">
        <v>0.02</v>
      </c>
      <c r="O63" s="3339" t="s">
        <v>3178</v>
      </c>
      <c r="P63" s="3332"/>
      <c r="Q63" s="3332"/>
      <c r="R63" s="3332"/>
    </row>
    <row r="64" spans="1:18" s="3201" customFormat="1" ht="13.5" thickBot="1">
      <c r="A64" s="3261" t="s">
        <v>3012</v>
      </c>
      <c r="B64" s="3422" t="s">
        <v>3068</v>
      </c>
      <c r="C64" s="3266">
        <f ca="1">ROUND(C57*F64,0)</f>
        <v>0</v>
      </c>
      <c r="D64" s="3434" t="s">
        <v>3107</v>
      </c>
      <c r="E64" s="3422" t="s">
        <v>3033</v>
      </c>
      <c r="F64" s="3295">
        <f t="shared" ca="1" si="0"/>
        <v>0</v>
      </c>
      <c r="I64" s="3441" t="s">
        <v>3179</v>
      </c>
      <c r="J64" s="3442">
        <v>50</v>
      </c>
      <c r="K64" s="3442">
        <v>35</v>
      </c>
      <c r="L64" s="3442">
        <v>60</v>
      </c>
      <c r="M64" s="3443">
        <v>0</v>
      </c>
      <c r="O64" s="3347" t="s">
        <v>3116</v>
      </c>
      <c r="P64" s="3348" t="s">
        <v>3117</v>
      </c>
      <c r="Q64" s="3349" t="s">
        <v>3118</v>
      </c>
      <c r="R64" s="3349" t="s">
        <v>3119</v>
      </c>
    </row>
    <row r="65" spans="1:18" s="3201" customFormat="1" ht="13.5" thickBot="1">
      <c r="A65" s="3261" t="s">
        <v>3180</v>
      </c>
      <c r="B65" s="3422" t="s">
        <v>3072</v>
      </c>
      <c r="C65" s="3266">
        <f ca="1">ROUND(C56*F65,0)</f>
        <v>0</v>
      </c>
      <c r="D65" s="3434" t="s">
        <v>3073</v>
      </c>
      <c r="E65" s="3422" t="s">
        <v>3033</v>
      </c>
      <c r="F65" s="3297">
        <f t="shared" ca="1" si="0"/>
        <v>0</v>
      </c>
      <c r="I65" s="3441" t="s">
        <v>3181</v>
      </c>
      <c r="J65" s="3442">
        <v>40</v>
      </c>
      <c r="K65" s="3442">
        <v>30</v>
      </c>
      <c r="L65" s="3442">
        <v>50</v>
      </c>
      <c r="M65" s="3446">
        <v>0.02</v>
      </c>
      <c r="O65" s="3360" t="s">
        <v>2384</v>
      </c>
      <c r="P65" s="3361" t="s">
        <v>3122</v>
      </c>
      <c r="Q65" s="3362">
        <f ca="1">C40+J29</f>
        <v>0</v>
      </c>
      <c r="R65" s="3362" t="s">
        <v>3123</v>
      </c>
    </row>
    <row r="66" spans="1:18" s="3201" customFormat="1" ht="16.5" thickBot="1">
      <c r="A66" s="3261" t="s">
        <v>3182</v>
      </c>
      <c r="B66" s="3422" t="s">
        <v>3056</v>
      </c>
      <c r="C66" s="3266">
        <f ca="1">ROUND(C48*F66,0)</f>
        <v>0</v>
      </c>
      <c r="D66" s="3434" t="s">
        <v>3077</v>
      </c>
      <c r="E66" s="3422" t="s">
        <v>3033</v>
      </c>
      <c r="F66" s="3230">
        <f t="shared" ca="1" si="0"/>
        <v>0</v>
      </c>
      <c r="O66" s="3360" t="s">
        <v>2386</v>
      </c>
      <c r="P66" s="3361" t="s">
        <v>3158</v>
      </c>
      <c r="Q66" s="3362" t="e">
        <f ca="1">L60</f>
        <v>#DIV/0!</v>
      </c>
      <c r="R66" s="3362" t="s">
        <v>3183</v>
      </c>
    </row>
    <row r="67" spans="1:18" s="3201" customFormat="1" ht="16.5" thickBot="1">
      <c r="A67" s="3414" t="s">
        <v>3081</v>
      </c>
      <c r="B67" s="3447" t="s">
        <v>3082</v>
      </c>
      <c r="C67" s="3234">
        <f ca="1">C48-C58</f>
        <v>-2947750</v>
      </c>
      <c r="D67" s="3433" t="s">
        <v>3083</v>
      </c>
      <c r="E67" s="3448"/>
      <c r="F67" s="3449"/>
      <c r="O67" s="3382" t="s">
        <v>2388</v>
      </c>
      <c r="P67" s="3361" t="s">
        <v>3162</v>
      </c>
      <c r="Q67" s="3450">
        <f ca="1">L51</f>
        <v>-48800784</v>
      </c>
      <c r="R67" s="3362" t="s">
        <v>3184</v>
      </c>
    </row>
    <row r="68" spans="1:18" s="3201" customFormat="1" ht="16.5" thickBot="1">
      <c r="A68" s="3451" t="s">
        <v>3087</v>
      </c>
      <c r="B68" s="3452" t="s">
        <v>3108</v>
      </c>
      <c r="C68" s="3222">
        <f ca="1">ROUND(C67*(1-((1+F70)/(1+F68))^F69)/(F68-F70),0)</f>
        <v>0</v>
      </c>
      <c r="D68" s="3440" t="s">
        <v>3089</v>
      </c>
      <c r="E68" s="3422" t="s">
        <v>3090</v>
      </c>
      <c r="F68" s="3230">
        <f ca="1">F40</f>
        <v>5.5E-2</v>
      </c>
      <c r="O68" s="3382" t="s">
        <v>2389</v>
      </c>
      <c r="P68" s="3453" t="s">
        <v>3185</v>
      </c>
      <c r="Q68" s="3362">
        <f ca="1">ROUND(Q69-Q70*Q71,0)</f>
        <v>-2947750</v>
      </c>
      <c r="R68" s="3362" t="s">
        <v>3186</v>
      </c>
    </row>
    <row r="69" spans="1:18" s="3201" customFormat="1" ht="13.5" thickBot="1">
      <c r="A69" s="3454"/>
      <c r="B69" s="3455"/>
      <c r="C69" s="3229"/>
      <c r="D69" s="3456" t="s">
        <v>3093</v>
      </c>
      <c r="E69" s="3422" t="s">
        <v>3094</v>
      </c>
      <c r="F69" s="3307">
        <f ca="1">F41</f>
        <v>0</v>
      </c>
      <c r="O69" s="3382" t="s">
        <v>2404</v>
      </c>
      <c r="P69" s="3453" t="s">
        <v>3187</v>
      </c>
      <c r="Q69" s="3362">
        <f ca="1">C39</f>
        <v>-2947750</v>
      </c>
      <c r="R69" s="3362" t="s">
        <v>3123</v>
      </c>
    </row>
    <row r="70" spans="1:18" s="3201" customFormat="1" ht="13.5" thickBot="1">
      <c r="A70" s="3457"/>
      <c r="B70" s="3458"/>
      <c r="C70" s="3254"/>
      <c r="D70" s="3445"/>
      <c r="E70" s="3422" t="s">
        <v>3098</v>
      </c>
      <c r="F70" s="3399">
        <f ca="1">F42</f>
        <v>0</v>
      </c>
      <c r="O70" s="3382" t="s">
        <v>2406</v>
      </c>
      <c r="P70" s="3453" t="s">
        <v>3188</v>
      </c>
      <c r="Q70" s="3362">
        <f ca="1">C13</f>
        <v>0</v>
      </c>
      <c r="R70" s="3362" t="s">
        <v>3123</v>
      </c>
    </row>
    <row r="71" spans="1:18" s="3201" customFormat="1" ht="13.5" thickBot="1">
      <c r="A71" s="3459" t="s">
        <v>3101</v>
      </c>
      <c r="B71" s="3460" t="s">
        <v>3109</v>
      </c>
      <c r="C71" s="3312">
        <f ca="1">ROUND(C68/F71,0)</f>
        <v>0</v>
      </c>
      <c r="D71" s="3461" t="s">
        <v>3110</v>
      </c>
      <c r="E71" s="3462" t="s">
        <v>3111</v>
      </c>
      <c r="F71" s="3315">
        <f ca="1">F43</f>
        <v>97478.52</v>
      </c>
      <c r="O71" s="3382" t="s">
        <v>2408</v>
      </c>
      <c r="P71" s="3453" t="s">
        <v>3189</v>
      </c>
      <c r="Q71" s="3391">
        <f ca="1">C76</f>
        <v>8.5000000000000006E-2</v>
      </c>
      <c r="R71" s="3362"/>
    </row>
    <row r="72" spans="1:18" s="3201" customFormat="1" ht="13.5" thickBot="1">
      <c r="B72" s="3463"/>
      <c r="C72" s="3463"/>
      <c r="O72" s="3382" t="s">
        <v>2391</v>
      </c>
      <c r="P72" s="3361" t="s">
        <v>3164</v>
      </c>
      <c r="Q72" s="3391">
        <f>L52</f>
        <v>0</v>
      </c>
      <c r="R72" s="3362"/>
    </row>
    <row r="73" spans="1:18" ht="16.5" thickBot="1">
      <c r="A73" s="3201"/>
      <c r="B73" s="3463"/>
      <c r="C73" s="3463"/>
      <c r="D73" s="3201"/>
      <c r="E73" s="3201"/>
      <c r="F73" s="3201"/>
      <c r="O73" s="3382" t="s">
        <v>2393</v>
      </c>
      <c r="P73" s="3361" t="s">
        <v>3167</v>
      </c>
      <c r="Q73" s="3362" t="e">
        <f ca="1">L58</f>
        <v>#DIV/0!</v>
      </c>
      <c r="R73" s="3362" t="s">
        <v>3168</v>
      </c>
    </row>
    <row r="74" spans="1:18" ht="13.5" thickBot="1">
      <c r="A74" s="3201"/>
      <c r="B74" s="3465" t="s">
        <v>3190</v>
      </c>
      <c r="C74" s="3466"/>
      <c r="D74" s="3201"/>
      <c r="E74" s="3201"/>
      <c r="F74" s="3201"/>
      <c r="O74" s="3382" t="s">
        <v>3191</v>
      </c>
      <c r="P74" s="3361" t="str">
        <f>K59</f>
        <v>建设期及建筑物耐用年限下的土地年期修正系数Kn</v>
      </c>
      <c r="Q74" s="3362" t="e">
        <f ca="1">L59</f>
        <v>#DIV/0!</v>
      </c>
      <c r="R74" s="3362" t="s">
        <v>3170</v>
      </c>
    </row>
    <row r="75" spans="1:18" ht="13.5" thickBot="1">
      <c r="A75" s="3201"/>
      <c r="B75" s="3467" t="s">
        <v>3192</v>
      </c>
      <c r="C75" s="3468">
        <f ca="1">ROUND(C13*C76,0)</f>
        <v>0</v>
      </c>
      <c r="D75" s="3201"/>
      <c r="E75" s="3201"/>
      <c r="F75" s="3201"/>
      <c r="K75" s="3336"/>
      <c r="L75" s="3201"/>
      <c r="O75" s="3360" t="s">
        <v>2396</v>
      </c>
      <c r="P75" s="3361" t="s">
        <v>3150</v>
      </c>
      <c r="Q75" s="3362" t="e">
        <f ca="1">Q65+Q66</f>
        <v>#DIV/0!</v>
      </c>
      <c r="R75" s="3362" t="s">
        <v>2397</v>
      </c>
    </row>
    <row r="76" spans="1:18">
      <c r="B76" s="3469" t="s">
        <v>3193</v>
      </c>
      <c r="C76" s="3470">
        <f ca="1">INDIRECT("'数据-取费表'!j"&amp;$G$1)</f>
        <v>8.5000000000000006E-2</v>
      </c>
      <c r="I76" s="3201"/>
      <c r="J76" s="3201"/>
      <c r="K76" s="3336"/>
      <c r="L76" s="3201"/>
    </row>
    <row r="77" spans="1:18">
      <c r="B77" s="3471" t="s">
        <v>3194</v>
      </c>
      <c r="C77" s="3472"/>
      <c r="I77" s="3201"/>
      <c r="J77" s="3201"/>
      <c r="K77" s="3336"/>
      <c r="L77" s="3201"/>
    </row>
    <row r="78" spans="1:18">
      <c r="B78" s="3473" t="s">
        <v>3195</v>
      </c>
      <c r="C78" s="3474"/>
    </row>
    <row r="79" spans="1:18">
      <c r="B79" s="3467" t="s">
        <v>3196</v>
      </c>
      <c r="C79" s="3475">
        <f ca="1">1-C80</f>
        <v>1</v>
      </c>
    </row>
    <row r="80" spans="1:18">
      <c r="B80" s="3467" t="s">
        <v>3197</v>
      </c>
      <c r="C80" s="3475">
        <f ca="1">ROUND(C75/C39,3)</f>
        <v>0</v>
      </c>
    </row>
    <row r="81" spans="2:3">
      <c r="B81" s="3473" t="s">
        <v>3198</v>
      </c>
      <c r="C81" s="3423"/>
    </row>
    <row r="82" spans="2:3">
      <c r="B82" s="3465" t="s">
        <v>3199</v>
      </c>
      <c r="C82" s="3476" t="e">
        <f ca="1">1-C83</f>
        <v>#DIV/0!</v>
      </c>
    </row>
    <row r="83" spans="2:3">
      <c r="B83" s="3465" t="s">
        <v>3200</v>
      </c>
      <c r="C83" s="3475"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2552</v>
      </c>
      <c r="R1" s="2607" t="s">
        <v>2546</v>
      </c>
      <c r="S1" s="6" t="s">
        <v>146</v>
      </c>
      <c r="T1" s="7" t="s">
        <v>147</v>
      </c>
      <c r="U1" s="6" t="s">
        <v>148</v>
      </c>
      <c r="V1" s="6" t="s">
        <v>149</v>
      </c>
      <c r="W1" s="1004"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1"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9" t="s">
        <v>1642</v>
      </c>
      <c r="C6" s="1553"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3" t="s">
        <v>2967</v>
      </c>
      <c r="C18" s="1554"/>
    </row>
    <row r="19" spans="1:3">
      <c r="A19" s="8" t="s">
        <v>120</v>
      </c>
      <c r="B19" s="3143" t="s">
        <v>2975</v>
      </c>
      <c r="C19" s="1554"/>
    </row>
    <row r="20" spans="1:3">
      <c r="A20" s="8" t="s">
        <v>121</v>
      </c>
      <c r="B20" s="8" t="s">
        <v>1643</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1990</v>
      </c>
      <c r="B52" s="1769" t="s">
        <v>1991</v>
      </c>
      <c r="C52" s="1767" t="s">
        <v>1992</v>
      </c>
      <c r="D52" s="1767" t="s">
        <v>1993</v>
      </c>
      <c r="E52" s="1768"/>
    </row>
    <row r="53" spans="1:5">
      <c r="A53" s="3513" t="s">
        <v>1994</v>
      </c>
      <c r="B53" s="1767" t="s">
        <v>2000</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8日，在规划利用条件下、设定土地开发程度为红线外“七通”、宗地内场地，设定用途为，剩余土地使用年限为的出让国有建设用地使用权价格。</v>
      </c>
      <c r="D53" s="1768"/>
      <c r="E53" s="1768"/>
    </row>
    <row r="54" spans="1:5">
      <c r="A54" s="3513"/>
      <c r="B54" s="1767" t="s">
        <v>2001</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513"/>
      <c r="B55" s="1767" t="s">
        <v>1995</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513"/>
      <c r="B56" s="1767" t="s">
        <v>1996</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513"/>
      <c r="B57" s="1767" t="s">
        <v>1997</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2053</v>
      </c>
      <c r="B58" s="1767"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16" sqref="D1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529" t="str">
        <f>IF(B10="北京市","北京市",C10)&amp;F10&amp;B16&amp;"国有建设用地使用权"&amp;B9&amp;"预评估"</f>
        <v>出让国有建设用地使用权抵押价格预评估</v>
      </c>
      <c r="C1" s="3530"/>
      <c r="D1" s="3530"/>
      <c r="E1" s="3530"/>
      <c r="F1" s="3530"/>
      <c r="G1" s="3530"/>
      <c r="H1" s="3530"/>
      <c r="I1" s="3531"/>
      <c r="J1" s="1693"/>
      <c r="K1" s="2479"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9" t="str">
        <f>IF(B10="北京市","北京市",C10)&amp;F10&amp;B16&amp;"国有建设用地使用权"</f>
        <v>出让国有建设用地使用权</v>
      </c>
      <c r="L2" s="1722"/>
      <c r="M2" s="1722"/>
      <c r="N2" s="1693"/>
      <c r="O2" s="1694"/>
      <c r="P2" s="1693"/>
      <c r="Q2" s="1693"/>
      <c r="R2" s="1693"/>
      <c r="S2" s="1693"/>
      <c r="T2" s="1693"/>
      <c r="U2" s="1693"/>
    </row>
    <row r="3" spans="1:21">
      <c r="A3" s="1660" t="s">
        <v>1943</v>
      </c>
      <c r="B3" s="1661">
        <v>43167</v>
      </c>
      <c r="C3" s="1662" t="s">
        <v>1999</v>
      </c>
      <c r="D3" s="1661">
        <f>B3</f>
        <v>43167</v>
      </c>
      <c r="E3" s="1693"/>
      <c r="F3" s="1693"/>
      <c r="G3" s="1693"/>
      <c r="H3" s="1659"/>
      <c r="I3" s="1694"/>
      <c r="J3" s="1693"/>
      <c r="K3" s="1773"/>
      <c r="L3" s="1722"/>
      <c r="M3" s="1722"/>
      <c r="N3" s="1693"/>
      <c r="O3" s="1694"/>
      <c r="P3" s="1693"/>
      <c r="Q3" s="1693"/>
      <c r="R3" s="1693"/>
      <c r="S3" s="1693"/>
      <c r="T3" s="1693"/>
      <c r="U3" s="1693"/>
    </row>
    <row r="4" spans="1:21" ht="29.25" thickBot="1">
      <c r="A4" s="1663" t="s">
        <v>1944</v>
      </c>
      <c r="B4" s="1842" t="s">
        <v>2896</v>
      </c>
      <c r="C4" s="1845">
        <f>SUMIF(土地估价师,B4,估价师及机构信息!E3:E24)</f>
        <v>0</v>
      </c>
      <c r="D4" s="1842" t="s">
        <v>2896</v>
      </c>
      <c r="E4" s="1845">
        <f>SUMIF(土地估价师,D4,估价师及机构信息!E3:E24)</f>
        <v>0</v>
      </c>
      <c r="F4" s="1842" t="s">
        <v>953</v>
      </c>
      <c r="G4" s="1845">
        <f>SUMIF(土地估价师,F4,估价师及机构信息!E3:E24)</f>
        <v>0</v>
      </c>
      <c r="H4" s="1842" t="s">
        <v>953</v>
      </c>
      <c r="I4" s="1845">
        <f>SUMIF(土地估价师,H4,估价师及机构信息!E3:E24)</f>
        <v>0</v>
      </c>
      <c r="J4" s="1693"/>
      <c r="K4" s="2479"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1945</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2713</v>
      </c>
      <c r="B6" s="1788"/>
      <c r="C6" s="1760"/>
      <c r="D6" s="1667"/>
      <c r="E6" s="1693"/>
      <c r="F6" s="1693"/>
      <c r="G6" s="1693"/>
      <c r="H6" s="1659"/>
      <c r="I6" s="1694"/>
      <c r="J6" s="1693"/>
      <c r="K6" s="3081" t="str">
        <f>IF(COUNTIF(B6,"*上海银行*"),"上海银行","")</f>
        <v/>
      </c>
      <c r="L6" s="1722"/>
      <c r="M6" s="1722"/>
      <c r="N6" s="1693"/>
      <c r="O6" s="1694"/>
      <c r="P6" s="1693"/>
      <c r="Q6" s="1693"/>
      <c r="R6" s="1693"/>
      <c r="S6" s="1693"/>
      <c r="T6" s="1693"/>
      <c r="U6" s="1693"/>
    </row>
    <row r="7" spans="1:21">
      <c r="A7" s="1668" t="s">
        <v>2714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3201</v>
      </c>
      <c r="C8" s="1670"/>
      <c r="D8" s="3535" t="s">
        <v>1948</v>
      </c>
      <c r="E8" s="1843"/>
      <c r="F8" s="1671"/>
      <c r="G8" s="1659"/>
      <c r="H8" s="1659"/>
      <c r="I8" s="1706"/>
      <c r="J8" s="1693"/>
      <c r="K8" s="1773"/>
      <c r="L8" s="1722"/>
      <c r="M8" s="1722"/>
      <c r="N8" s="1693"/>
      <c r="O8" s="1694"/>
      <c r="P8" s="1693"/>
      <c r="Q8" s="1693"/>
      <c r="R8" s="1693"/>
      <c r="S8" s="1693"/>
      <c r="T8" s="1693"/>
      <c r="U8" s="1693"/>
    </row>
    <row r="9" spans="1:21" ht="15" thickBot="1">
      <c r="A9" s="1672" t="s">
        <v>1947</v>
      </c>
      <c r="B9" s="1673" t="s">
        <v>3202</v>
      </c>
      <c r="C9" s="1674"/>
      <c r="D9" s="3536"/>
      <c r="E9" s="1673"/>
      <c r="F9" s="1746"/>
      <c r="G9" s="1741"/>
      <c r="H9" s="1741"/>
      <c r="I9" s="1742"/>
      <c r="J9" s="1693"/>
      <c r="K9" s="1773"/>
      <c r="L9" s="1722"/>
      <c r="M9" s="1722"/>
      <c r="N9" s="1693"/>
      <c r="O9" s="1694"/>
      <c r="P9" s="1693"/>
      <c r="Q9" s="1693"/>
      <c r="R9" s="1693"/>
      <c r="S9" s="1693"/>
      <c r="T9" s="1693"/>
      <c r="U9" s="1693"/>
    </row>
    <row r="10" spans="1:21" ht="15" thickTop="1">
      <c r="A10" s="1743" t="s">
        <v>2003</v>
      </c>
      <c r="B10" s="1718"/>
      <c r="C10" s="1675"/>
      <c r="D10" s="1666"/>
      <c r="E10" s="1676" t="s">
        <v>1950</v>
      </c>
      <c r="F10" s="1677"/>
      <c r="G10" s="1744"/>
      <c r="H10" s="1745"/>
      <c r="I10" s="1666"/>
      <c r="J10" s="1693"/>
      <c r="K10" s="1773"/>
      <c r="L10" s="1722"/>
      <c r="M10" s="1722"/>
      <c r="N10" s="1693"/>
      <c r="O10" s="1694"/>
      <c r="P10" s="1693"/>
      <c r="Q10" s="1693"/>
      <c r="R10" s="1693"/>
      <c r="S10" s="1693"/>
      <c r="T10" s="1693"/>
      <c r="U10" s="1693"/>
    </row>
    <row r="11" spans="1:21">
      <c r="A11" s="1696" t="s">
        <v>2004</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2062</v>
      </c>
      <c r="B12" s="3532"/>
      <c r="C12" s="3533"/>
      <c r="D12" s="3534"/>
      <c r="E12" s="1698" t="s">
        <v>2065</v>
      </c>
      <c r="F12" s="3550" t="s">
        <v>2897</v>
      </c>
      <c r="G12" s="3551"/>
      <c r="H12" s="3551"/>
      <c r="I12" s="3552"/>
      <c r="J12" s="1693"/>
      <c r="K12" s="1773"/>
      <c r="L12" s="1722"/>
      <c r="M12" s="1722"/>
      <c r="N12" s="1693"/>
      <c r="O12" s="1694"/>
      <c r="P12" s="1693"/>
      <c r="Q12" s="1693"/>
      <c r="R12" s="1693"/>
      <c r="S12" s="1693"/>
      <c r="T12" s="1693"/>
      <c r="U12" s="1693"/>
    </row>
    <row r="13" spans="1:21">
      <c r="A13" s="1686" t="s">
        <v>2063</v>
      </c>
      <c r="B13" s="3532"/>
      <c r="C13" s="3533"/>
      <c r="D13" s="3534"/>
      <c r="E13" s="1698" t="s">
        <v>2065</v>
      </c>
      <c r="F13" s="3550" t="s">
        <v>2898</v>
      </c>
      <c r="G13" s="3551"/>
      <c r="H13" s="3551"/>
      <c r="I13" s="3552"/>
      <c r="J13" s="1693"/>
      <c r="K13" s="1773"/>
      <c r="L13" s="1722"/>
      <c r="M13" s="1722"/>
      <c r="N13" s="1693"/>
      <c r="O13" s="1694"/>
      <c r="P13" s="1693"/>
      <c r="Q13" s="1693"/>
      <c r="R13" s="1693"/>
      <c r="S13" s="1693"/>
      <c r="T13" s="1693"/>
      <c r="U13" s="1693"/>
    </row>
    <row r="14" spans="1:21">
      <c r="A14" s="1660" t="s">
        <v>2066</v>
      </c>
      <c r="B14" s="1698"/>
      <c r="C14" s="1844" t="s">
        <v>3227</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42.75">
      <c r="A16" s="1679" t="s">
        <v>1951</v>
      </c>
      <c r="B16" s="1680" t="s">
        <v>3228</v>
      </c>
      <c r="C16" s="1698" t="s">
        <v>1952</v>
      </c>
      <c r="D16" s="2671" t="s">
        <v>1953</v>
      </c>
      <c r="E16" s="1721" t="s">
        <v>3203</v>
      </c>
      <c r="F16" s="1721" t="s">
        <v>1679</v>
      </c>
      <c r="G16" s="1721" t="s">
        <v>35</v>
      </c>
      <c r="H16" s="1721"/>
      <c r="I16" s="1685" t="s">
        <v>1958</v>
      </c>
      <c r="J16" s="1693"/>
      <c r="K16" s="2480" t="str">
        <f>IF(D17="","",D16&amp;TEXT(D17,"yyyy年m月d日;;"))</f>
        <v>住宅2084年3月19日</v>
      </c>
      <c r="L16" s="1698" t="str">
        <f>IF(OR(K16="",M16=""),"","、")</f>
        <v>、</v>
      </c>
      <c r="M16" s="2480" t="str">
        <f>IF(E17="","",E16&amp;TEXT(E17,"yyyy年m月d日;;"))</f>
        <v>商业2054年3月19日</v>
      </c>
      <c r="N16" s="1698" t="str">
        <f>IF(OR(M16="",O16=""),"","、")</f>
        <v>、</v>
      </c>
      <c r="O16" s="2480" t="str">
        <f>IF(F17="","",F16&amp;TEXT(F17,"yyyy年m月d日;;"))</f>
        <v>办公2054年3月19日</v>
      </c>
      <c r="P16" s="1698" t="str">
        <f>IF(OR(O16="",Q16=""),"","、")</f>
        <v>、</v>
      </c>
      <c r="Q16" s="2480" t="str">
        <f>IF(G17="","",G16&amp;TEXT(G17,"yyyy年m月d日;;"))</f>
        <v>地下车库2064年3月19日</v>
      </c>
      <c r="R16" s="1698" t="str">
        <f>IF(OR(Q16="",S16=""),"","、")</f>
        <v/>
      </c>
      <c r="S16" s="2480" t="str">
        <f>IF(H17="","",H16&amp;TEXT(H17,"yyyy年m月d日;;"))</f>
        <v/>
      </c>
      <c r="T16" s="1698" t="str">
        <f>IF(OR(S16="",U16=""),"","、")</f>
        <v/>
      </c>
      <c r="U16" s="2480" t="str">
        <f>IF(I17="","",I16&amp;TEXT(I17,"yyyy年m月d日;;"))</f>
        <v/>
      </c>
    </row>
    <row r="17" spans="1:21">
      <c r="A17" s="1762"/>
      <c r="B17" s="1681"/>
      <c r="C17" s="1682" t="s">
        <v>1959</v>
      </c>
      <c r="D17" s="1699">
        <v>67285</v>
      </c>
      <c r="E17" s="1699">
        <v>56327</v>
      </c>
      <c r="F17" s="1699">
        <v>56327</v>
      </c>
      <c r="G17" s="1699">
        <v>59980</v>
      </c>
      <c r="H17" s="1699"/>
      <c r="I17" s="1699"/>
      <c r="J17" s="1693"/>
      <c r="K17" s="2479" t="str">
        <f>CONCATENATE(K16,L16,M16,N16,O16,P16,Q16,R16,S16,T16,,U16)</f>
        <v>住宅2084年3月19日、商业2054年3月19日、办公2054年3月19日、地下车库2064年3月19日</v>
      </c>
      <c r="L17" s="1722"/>
      <c r="M17" s="1722"/>
      <c r="N17" s="1693"/>
      <c r="O17" s="1694"/>
      <c r="P17" s="1693"/>
      <c r="Q17" s="1693"/>
      <c r="R17" s="1693"/>
      <c r="S17" s="1693"/>
      <c r="T17" s="1693"/>
      <c r="U17" s="1693"/>
    </row>
    <row r="18" spans="1:21">
      <c r="A18" s="1762"/>
      <c r="B18" s="1681"/>
      <c r="C18" s="1682" t="s">
        <v>1960</v>
      </c>
      <c r="D18" s="1683">
        <v>70</v>
      </c>
      <c r="E18" s="1683">
        <v>40</v>
      </c>
      <c r="F18" s="1683">
        <v>40</v>
      </c>
      <c r="G18" s="1683">
        <v>50</v>
      </c>
      <c r="H18" s="1683"/>
      <c r="I18" s="1683"/>
      <c r="J18" s="1693"/>
      <c r="K18" s="1773"/>
      <c r="L18" s="1722"/>
      <c r="M18" s="1722"/>
      <c r="N18" s="1693"/>
      <c r="O18" s="1694"/>
      <c r="P18" s="1693"/>
      <c r="Q18" s="1693"/>
      <c r="R18" s="1693"/>
      <c r="S18" s="1693"/>
      <c r="T18" s="1693"/>
      <c r="U18" s="1693"/>
    </row>
    <row r="19" spans="1:21">
      <c r="A19" s="1762"/>
      <c r="B19" s="1681"/>
      <c r="C19" s="1659" t="s">
        <v>1961</v>
      </c>
      <c r="D19" s="1757">
        <f>IF(B16="出让",IF(D17="","",ROUNDDOWN(MIN((D17-$D$3)/365,D18),2)),D18)</f>
        <v>66.069999999999993</v>
      </c>
      <c r="E19" s="1684">
        <f>IF(B16="出让",IF(E17="","",ROUNDDOWN(MIN((E17-$D$3)/365,E18),2)),E18)</f>
        <v>36.049999999999997</v>
      </c>
      <c r="F19" s="1684">
        <f>IF(B16="出让",IF(F17="","",ROUNDDOWN(MIN((F17-$D$3)/365,F18),2)),F18)</f>
        <v>36.049999999999997</v>
      </c>
      <c r="G19" s="1684">
        <f>IF(B16="出让",IF(G17="","",ROUNDDOWN(MIN((G17-$D$3)/365,G18),2)),G18)</f>
        <v>46.06</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2064</v>
      </c>
      <c r="D20" s="3547"/>
      <c r="E20" s="3548"/>
      <c r="F20" s="3548"/>
      <c r="G20" s="3548"/>
      <c r="H20" s="3548"/>
      <c r="I20" s="3549"/>
      <c r="J20" s="1693"/>
      <c r="K20" s="1773"/>
      <c r="L20" s="1722"/>
      <c r="M20" s="1722"/>
      <c r="N20" s="1693"/>
      <c r="O20" s="1694"/>
      <c r="P20" s="1693"/>
      <c r="Q20" s="1693"/>
      <c r="R20" s="1693"/>
      <c r="S20" s="1693"/>
      <c r="T20" s="1693"/>
      <c r="U20" s="1693"/>
    </row>
    <row r="21" spans="1:21">
      <c r="A21" s="1762" t="s">
        <v>1962</v>
      </c>
      <c r="B21" s="1763" t="s">
        <v>1963</v>
      </c>
      <c r="C21" s="1758">
        <f>'数据-汇总表'!E3</f>
        <v>505683.77</v>
      </c>
      <c r="D21" s="1759" t="s">
        <v>1964</v>
      </c>
      <c r="E21" s="3537" t="s">
        <v>2002</v>
      </c>
      <c r="F21" s="3538"/>
      <c r="G21" s="3538"/>
      <c r="H21" s="3538"/>
      <c r="I21" s="3539"/>
      <c r="J21" s="1693"/>
      <c r="K21" s="1773"/>
      <c r="L21" s="1722"/>
      <c r="M21" s="1722"/>
      <c r="N21" s="1693"/>
      <c r="O21" s="1694"/>
      <c r="P21" s="1693"/>
      <c r="Q21" s="1693"/>
      <c r="R21" s="1693"/>
      <c r="S21" s="1693"/>
      <c r="T21" s="1693"/>
      <c r="U21" s="1693"/>
    </row>
    <row r="22" spans="1:21">
      <c r="A22" s="2662" t="s">
        <v>953</v>
      </c>
      <c r="B22" s="1660" t="s">
        <v>1965</v>
      </c>
      <c r="C22" s="1685">
        <f>'数据-汇总表'!D3</f>
        <v>69347.5</v>
      </c>
      <c r="D22" s="1686" t="s">
        <v>1964</v>
      </c>
      <c r="E22" s="3537" t="s">
        <v>2899</v>
      </c>
      <c r="F22" s="3538"/>
      <c r="G22" s="3538"/>
      <c r="H22" s="3538"/>
      <c r="I22" s="3539"/>
      <c r="J22" s="1693"/>
      <c r="K22" s="1773"/>
      <c r="L22" s="1722"/>
      <c r="M22" s="1722"/>
      <c r="N22" s="1693"/>
      <c r="O22" s="1694"/>
      <c r="P22" s="1693"/>
      <c r="Q22" s="1693"/>
      <c r="R22" s="1693"/>
      <c r="S22" s="1693"/>
      <c r="T22" s="1693"/>
      <c r="U22" s="1693"/>
    </row>
    <row r="23" spans="1:21" ht="43.5" thickBot="1">
      <c r="A23" s="1764" t="s">
        <v>1966</v>
      </c>
      <c r="B23" s="1700" t="s">
        <v>1967</v>
      </c>
      <c r="C23" s="1701"/>
      <c r="D23" s="1702" t="s">
        <v>1968</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540" t="s">
        <v>1970</v>
      </c>
      <c r="C24" s="3541"/>
      <c r="D24" s="3542" t="s">
        <v>1971</v>
      </c>
      <c r="E24" s="3543"/>
      <c r="F24" s="1707" t="s">
        <v>1972</v>
      </c>
      <c r="G24" s="1693"/>
      <c r="H24" s="1693"/>
      <c r="I24" s="1706"/>
      <c r="J24" s="1693"/>
      <c r="K24" s="3528" t="s">
        <v>1973</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2329</v>
      </c>
      <c r="C25" s="1708" t="s">
        <v>1974</v>
      </c>
      <c r="D25" s="1709"/>
      <c r="E25" s="1710" t="s">
        <v>953</v>
      </c>
      <c r="F25" s="1711"/>
      <c r="G25" s="1693"/>
      <c r="H25" s="1693"/>
      <c r="I25" s="1706"/>
      <c r="J25" s="1693"/>
      <c r="K25" s="3528"/>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1975</v>
      </c>
      <c r="C26" s="1708" t="s">
        <v>2330</v>
      </c>
      <c r="D26" s="1659"/>
      <c r="E26" s="1659"/>
      <c r="F26" s="1687"/>
      <c r="G26" s="1693"/>
      <c r="H26" s="1693"/>
      <c r="I26" s="1706"/>
      <c r="J26" s="1693"/>
      <c r="K26" s="3528"/>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1976</v>
      </c>
      <c r="B27" s="1752" t="s">
        <v>1977</v>
      </c>
      <c r="C27" s="1712"/>
      <c r="D27" s="2676" t="s">
        <v>1977</v>
      </c>
      <c r="E27" s="1713"/>
      <c r="F27" s="1687"/>
      <c r="G27" s="1693"/>
      <c r="H27" s="1693"/>
      <c r="I27" s="1706"/>
      <c r="J27" s="1693"/>
      <c r="K27" s="1773"/>
      <c r="L27" s="1722"/>
      <c r="M27" s="1722"/>
      <c r="N27" s="1693"/>
      <c r="O27" s="1694"/>
      <c r="P27" s="1693"/>
      <c r="Q27" s="1693"/>
      <c r="R27" s="1693"/>
      <c r="S27" s="1693"/>
      <c r="T27" s="1693"/>
      <c r="U27" s="1693"/>
    </row>
    <row r="28" spans="1:21">
      <c r="A28" s="1755"/>
      <c r="B28" s="1752" t="s">
        <v>1978</v>
      </c>
      <c r="C28" s="1714"/>
      <c r="D28" s="2677" t="s">
        <v>1978</v>
      </c>
      <c r="E28" s="1715"/>
      <c r="F28" s="1687"/>
      <c r="G28" s="1693"/>
      <c r="H28" s="1693"/>
      <c r="I28" s="1706"/>
      <c r="J28" s="1693"/>
      <c r="K28" s="1773"/>
      <c r="L28" s="1722"/>
      <c r="M28" s="1722"/>
      <c r="N28" s="1693"/>
      <c r="O28" s="1694"/>
      <c r="P28" s="1693"/>
      <c r="Q28" s="1693"/>
      <c r="R28" s="1693"/>
      <c r="S28" s="1693"/>
      <c r="T28" s="1693"/>
      <c r="U28" s="1693"/>
    </row>
    <row r="29" spans="1:21">
      <c r="A29" s="1755"/>
      <c r="B29" s="1752" t="s">
        <v>1979</v>
      </c>
      <c r="C29" s="1714"/>
      <c r="D29" s="2677" t="s">
        <v>1979</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1980</v>
      </c>
      <c r="C30" s="1716"/>
      <c r="D30" s="2678" t="s">
        <v>1980</v>
      </c>
      <c r="E30" s="1717"/>
      <c r="F30" s="1688"/>
      <c r="G30" s="1741"/>
      <c r="H30" s="1741"/>
      <c r="I30" s="1742"/>
      <c r="J30" s="1693"/>
      <c r="K30" s="1773"/>
      <c r="L30" s="1722"/>
      <c r="M30" s="1722"/>
      <c r="N30" s="1693"/>
      <c r="O30" s="1694"/>
      <c r="P30" s="1693"/>
      <c r="Q30" s="1693"/>
      <c r="R30" s="1693"/>
      <c r="S30" s="1693"/>
      <c r="T30" s="1693"/>
      <c r="U30" s="1693"/>
    </row>
    <row r="31" spans="1:21" ht="15" thickTop="1">
      <c r="A31" s="3514" t="s">
        <v>2005</v>
      </c>
      <c r="B31" s="1763" t="s">
        <v>2006</v>
      </c>
      <c r="C31" s="3553"/>
      <c r="D31" s="3554"/>
      <c r="E31" s="1693"/>
      <c r="F31" s="1693"/>
      <c r="G31" s="1693"/>
      <c r="H31" s="1693"/>
      <c r="I31" s="1706"/>
      <c r="J31" s="1693"/>
      <c r="K31" s="2482"/>
      <c r="L31" s="1693"/>
      <c r="M31" s="1693"/>
      <c r="N31" s="1693"/>
      <c r="O31" s="1693"/>
      <c r="P31" s="1693"/>
      <c r="Q31" s="1693"/>
      <c r="R31" s="1693"/>
      <c r="S31" s="1693"/>
      <c r="T31" s="1693"/>
      <c r="U31" s="1693"/>
    </row>
    <row r="32" spans="1:21">
      <c r="A32" s="3514"/>
      <c r="B32" s="1660" t="s">
        <v>2007</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514"/>
      <c r="B33" s="1660" t="s">
        <v>2008</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515"/>
      <c r="B34" s="1660" t="s">
        <v>2009</v>
      </c>
      <c r="C34" s="3516"/>
      <c r="D34" s="3517"/>
      <c r="E34" s="1693"/>
      <c r="F34" s="1693"/>
      <c r="G34" s="1693"/>
      <c r="H34" s="1693"/>
      <c r="I34" s="1706"/>
      <c r="J34" s="1693"/>
      <c r="K34" s="2482"/>
      <c r="L34" s="1693"/>
      <c r="M34" s="1693"/>
      <c r="N34" s="1693"/>
      <c r="O34" s="1693"/>
      <c r="P34" s="1693"/>
      <c r="Q34" s="1693"/>
      <c r="R34" s="1693"/>
      <c r="S34" s="1693"/>
      <c r="T34" s="1693"/>
      <c r="U34" s="1693"/>
    </row>
    <row r="35" spans="1:21">
      <c r="A35" s="3518" t="s">
        <v>848</v>
      </c>
      <c r="B35" s="1721"/>
      <c r="C35" s="1775" t="str">
        <f>IF(B35="场地平整","——","具体情况：")</f>
        <v>具体情况：</v>
      </c>
      <c r="D35" s="3520"/>
      <c r="E35" s="3521"/>
      <c r="F35" s="3521"/>
      <c r="G35" s="3521"/>
      <c r="H35" s="3521"/>
      <c r="I35" s="3522"/>
      <c r="J35" s="1693"/>
      <c r="K35" s="1774"/>
      <c r="L35" s="1722"/>
      <c r="M35" s="1722"/>
      <c r="N35" s="1693"/>
      <c r="O35" s="1694"/>
      <c r="P35" s="1693"/>
      <c r="Q35" s="1693"/>
      <c r="R35" s="1693"/>
      <c r="S35" s="1693"/>
      <c r="T35" s="1693"/>
      <c r="U35" s="1693"/>
    </row>
    <row r="36" spans="1:21">
      <c r="A36" s="3514"/>
      <c r="B36" s="3523" t="s">
        <v>2058</v>
      </c>
      <c r="C36" s="3524"/>
      <c r="D36" s="1791"/>
      <c r="E36" s="3525"/>
      <c r="F36" s="3525"/>
      <c r="G36" s="1686" t="str">
        <f>IF(B35="场地未平整","估价结果处理","")</f>
        <v/>
      </c>
      <c r="H36" s="3526"/>
      <c r="I36" s="3526"/>
      <c r="J36" s="1693"/>
      <c r="K36" s="1774"/>
      <c r="L36" s="1722"/>
      <c r="M36" s="1722"/>
      <c r="N36" s="1693"/>
      <c r="O36" s="1694"/>
      <c r="P36" s="1693"/>
      <c r="Q36" s="1693"/>
      <c r="R36" s="1693"/>
      <c r="S36" s="1693"/>
      <c r="T36" s="1693"/>
      <c r="U36" s="1693"/>
    </row>
    <row r="37" spans="1:21" ht="28.5">
      <c r="A37" s="3514"/>
      <c r="B37" s="3544"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3514"/>
      <c r="B38" s="3545"/>
      <c r="C38" s="1668" t="s">
        <v>851</v>
      </c>
      <c r="D38" s="1790">
        <f>ROUNDDOWN(MIN(('数据-取费表'!$B$2-D37)/365,D34),1)</f>
        <v>118.2</v>
      </c>
      <c r="E38" s="1726" t="s">
        <v>852</v>
      </c>
      <c r="F38" s="1693"/>
      <c r="G38" s="1693"/>
      <c r="H38" s="1693"/>
      <c r="I38" s="1706"/>
      <c r="J38" s="1693"/>
      <c r="K38" s="1774"/>
      <c r="L38" s="1693"/>
      <c r="M38" s="1693"/>
      <c r="N38" s="1693"/>
      <c r="O38" s="1693"/>
      <c r="P38" s="1693"/>
      <c r="Q38" s="1693"/>
      <c r="R38" s="1693"/>
      <c r="S38" s="1693"/>
      <c r="T38" s="1693"/>
      <c r="U38" s="1693"/>
    </row>
    <row r="39" spans="1:21">
      <c r="A39" s="3515"/>
      <c r="B39" s="3546"/>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1981</v>
      </c>
      <c r="B40" s="1689"/>
      <c r="C40" s="1689"/>
      <c r="D40" s="1689"/>
      <c r="E40" s="1689"/>
      <c r="F40" s="1689"/>
      <c r="G40" s="1689"/>
      <c r="H40" s="1689"/>
      <c r="I40" s="1706"/>
      <c r="J40" s="1693"/>
      <c r="K40" s="1729">
        <f>COUNTIF(B40:H40,"——")</f>
        <v>0</v>
      </c>
      <c r="L40" s="1698" t="s">
        <v>1982</v>
      </c>
      <c r="M40" s="1695" t="s">
        <v>1983</v>
      </c>
      <c r="N40" s="1695" t="s">
        <v>1984</v>
      </c>
      <c r="O40" s="1695" t="s">
        <v>1985</v>
      </c>
      <c r="P40" s="1695" t="s">
        <v>1986</v>
      </c>
      <c r="Q40" s="1695" t="s">
        <v>1987</v>
      </c>
      <c r="R40" s="1695" t="s">
        <v>1988</v>
      </c>
      <c r="S40" s="3527" t="s">
        <v>1989</v>
      </c>
      <c r="T40" s="1730" t="str">
        <f>NUMBERSTRING(7-K40,1)&amp;"通"</f>
        <v>七通</v>
      </c>
      <c r="U40" s="1693"/>
    </row>
    <row r="41" spans="1:21">
      <c r="A41" s="1662"/>
      <c r="B41" s="3519" t="s">
        <v>1723</v>
      </c>
      <c r="C41" s="3519"/>
      <c r="D41" s="3519"/>
      <c r="E41" s="3519"/>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527"/>
      <c r="T41" s="1732" t="str">
        <f>IF(T40="一通",L41,IF(T40="二通",M41,IF(T40="三通",N41,IF(T40="四通",O41,IF(T40="五通",P41,IF(T40="六通",Q41,R41))))))</f>
        <v>、、、、、、</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8" customFormat="1" ht="21" thickBot="1">
      <c r="A45" s="3099" t="s">
        <v>2900</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2010</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2011</v>
      </c>
      <c r="B48" s="1685" t="s">
        <v>2012</v>
      </c>
      <c r="C48" s="1685" t="s">
        <v>2013</v>
      </c>
      <c r="D48" s="1685" t="s">
        <v>2014</v>
      </c>
      <c r="E48" s="1685" t="s">
        <v>2015</v>
      </c>
      <c r="F48" s="1685" t="s">
        <v>2016</v>
      </c>
      <c r="G48" s="1685" t="s">
        <v>2017</v>
      </c>
      <c r="H48" s="1685" t="s">
        <v>2018</v>
      </c>
      <c r="I48" s="1685" t="s">
        <v>2019</v>
      </c>
      <c r="J48" s="1771" t="s">
        <v>2020</v>
      </c>
      <c r="K48" s="1765" t="s">
        <v>2021</v>
      </c>
      <c r="L48" s="1765" t="s">
        <v>2022</v>
      </c>
      <c r="M48" s="1765" t="s">
        <v>2023</v>
      </c>
      <c r="N48" s="1685" t="s">
        <v>2024</v>
      </c>
      <c r="O48" s="1685" t="s">
        <v>2025</v>
      </c>
      <c r="P48" s="1685" t="s">
        <v>2026</v>
      </c>
      <c r="Q48" s="1698" t="s">
        <v>2027</v>
      </c>
      <c r="R48" s="1698" t="s">
        <v>2028</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J34" sqref="J3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2337</v>
      </c>
      <c r="BA2" s="2361"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69347.5</v>
      </c>
      <c r="B3" s="22">
        <f>IF(C3="否",G5-AT5,G5)</f>
        <v>505683.77</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505683.77</v>
      </c>
      <c r="H5" s="27">
        <f t="shared" ref="H5:AT5" si="0">SUM(H13:H641)</f>
        <v>468440.60000000003</v>
      </c>
      <c r="I5" s="27">
        <f t="shared" si="0"/>
        <v>101507.42</v>
      </c>
      <c r="J5" s="27">
        <f t="shared" si="0"/>
        <v>0</v>
      </c>
      <c r="K5" s="27">
        <f t="shared" si="0"/>
        <v>279564.38</v>
      </c>
      <c r="L5" s="27">
        <f t="shared" si="0"/>
        <v>0</v>
      </c>
      <c r="M5" s="27">
        <f t="shared" si="0"/>
        <v>14311</v>
      </c>
      <c r="N5" s="27">
        <f t="shared" si="0"/>
        <v>0</v>
      </c>
      <c r="O5" s="27">
        <f t="shared" si="0"/>
        <v>73057.8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37243.17</v>
      </c>
      <c r="AD5" s="27">
        <f t="shared" si="0"/>
        <v>0</v>
      </c>
      <c r="AE5" s="27">
        <f t="shared" si="0"/>
        <v>0</v>
      </c>
      <c r="AF5" s="27">
        <f t="shared" si="0"/>
        <v>0</v>
      </c>
      <c r="AG5" s="27">
        <f t="shared" si="0"/>
        <v>0</v>
      </c>
      <c r="AH5" s="27">
        <f t="shared" si="0"/>
        <v>0</v>
      </c>
      <c r="AI5" s="27">
        <f t="shared" si="0"/>
        <v>0</v>
      </c>
      <c r="AJ5" s="27">
        <f t="shared" si="0"/>
        <v>0</v>
      </c>
      <c r="AK5" s="27">
        <f t="shared" si="0"/>
        <v>0</v>
      </c>
      <c r="AL5" s="27">
        <f t="shared" si="0"/>
        <v>5265.47</v>
      </c>
      <c r="AM5" s="27">
        <f t="shared" si="0"/>
        <v>0</v>
      </c>
      <c r="AN5" s="27">
        <f t="shared" si="0"/>
        <v>24567.200000000001</v>
      </c>
      <c r="AO5" s="27">
        <f t="shared" si="0"/>
        <v>0</v>
      </c>
      <c r="AP5" s="27">
        <f t="shared" si="0"/>
        <v>7410.5</v>
      </c>
      <c r="AQ5" s="27">
        <f t="shared" si="0"/>
        <v>0</v>
      </c>
      <c r="AR5" s="27">
        <f t="shared" si="0"/>
        <v>0</v>
      </c>
      <c r="AS5" s="27">
        <f t="shared" si="0"/>
        <v>0</v>
      </c>
      <c r="AT5" s="27">
        <f t="shared" si="0"/>
        <v>0</v>
      </c>
      <c r="AU5" s="988"/>
      <c r="AV5" s="26" t="s">
        <v>168</v>
      </c>
      <c r="AW5" s="989"/>
      <c r="AX5" s="989"/>
      <c r="AY5" s="28" t="s">
        <v>3</v>
      </c>
      <c r="AZ5" s="29">
        <f t="shared" ref="AZ5:BT5" si="1">SUM(AZ13:AZ641)</f>
        <v>505683.77</v>
      </c>
      <c r="BA5" s="29">
        <f t="shared" si="1"/>
        <v>468440.60000000003</v>
      </c>
      <c r="BB5" s="29">
        <f t="shared" si="1"/>
        <v>101507.42</v>
      </c>
      <c r="BC5" s="29">
        <f t="shared" si="1"/>
        <v>279564.38</v>
      </c>
      <c r="BD5" s="29">
        <f t="shared" si="1"/>
        <v>14311</v>
      </c>
      <c r="BE5" s="29">
        <f t="shared" si="1"/>
        <v>73057.8</v>
      </c>
      <c r="BF5" s="29">
        <f t="shared" si="1"/>
        <v>0</v>
      </c>
      <c r="BG5" s="29">
        <f t="shared" si="1"/>
        <v>0</v>
      </c>
      <c r="BH5" s="29">
        <f t="shared" si="1"/>
        <v>0</v>
      </c>
      <c r="BI5" s="29">
        <f t="shared" si="1"/>
        <v>0</v>
      </c>
      <c r="BJ5" s="29">
        <f t="shared" si="1"/>
        <v>0</v>
      </c>
      <c r="BK5" s="29">
        <f t="shared" si="1"/>
        <v>0</v>
      </c>
      <c r="BL5" s="29">
        <f t="shared" si="1"/>
        <v>37243.17</v>
      </c>
      <c r="BM5" s="29">
        <f t="shared" si="1"/>
        <v>0</v>
      </c>
      <c r="BN5" s="29">
        <f t="shared" si="1"/>
        <v>0</v>
      </c>
      <c r="BO5" s="29">
        <f t="shared" si="1"/>
        <v>0</v>
      </c>
      <c r="BP5" s="29">
        <f t="shared" si="1"/>
        <v>0</v>
      </c>
      <c r="BQ5" s="29">
        <f t="shared" si="1"/>
        <v>5265.47</v>
      </c>
      <c r="BR5" s="29">
        <f t="shared" si="1"/>
        <v>24567.200000000001</v>
      </c>
      <c r="BS5" s="29">
        <f t="shared" si="1"/>
        <v>7410.5</v>
      </c>
      <c r="BT5" s="30">
        <f t="shared" si="1"/>
        <v>0</v>
      </c>
    </row>
    <row r="6" spans="1:72" s="37" customFormat="1" ht="12.75">
      <c r="A6" s="26" t="s">
        <v>169</v>
      </c>
      <c r="B6" s="31"/>
      <c r="C6" s="31"/>
      <c r="D6" s="32"/>
      <c r="E6" s="27">
        <f>H6+AC6+AT6</f>
        <v>69347.500000000015</v>
      </c>
      <c r="F6" s="27" t="s">
        <v>1</v>
      </c>
      <c r="G6" s="27" t="s">
        <v>2</v>
      </c>
      <c r="H6" s="33">
        <f>SUMIF(I$12:AB$12,"总值",I6:AB6)</f>
        <v>64240.110000000008</v>
      </c>
      <c r="I6" s="27">
        <f t="shared" ref="I6:AB6" si="2">ROUND($A$3*I5/$B$3,2)</f>
        <v>13920.33</v>
      </c>
      <c r="J6" s="27">
        <f t="shared" si="2"/>
        <v>0</v>
      </c>
      <c r="K6" s="27">
        <f t="shared" si="2"/>
        <v>38338.370000000003</v>
      </c>
      <c r="L6" s="27">
        <f t="shared" si="2"/>
        <v>0</v>
      </c>
      <c r="M6" s="27">
        <f t="shared" si="2"/>
        <v>1962.55</v>
      </c>
      <c r="N6" s="27">
        <f t="shared" si="2"/>
        <v>0</v>
      </c>
      <c r="O6" s="27">
        <f t="shared" si="2"/>
        <v>10018.86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5107.3900000000003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722.09</v>
      </c>
      <c r="AM6" s="27">
        <f t="shared" si="3"/>
        <v>0</v>
      </c>
      <c r="AN6" s="27">
        <f t="shared" si="3"/>
        <v>3369.05</v>
      </c>
      <c r="AO6" s="27">
        <f t="shared" si="3"/>
        <v>0</v>
      </c>
      <c r="AP6" s="27">
        <f t="shared" si="3"/>
        <v>1016.25</v>
      </c>
      <c r="AQ6" s="27">
        <f t="shared" si="3"/>
        <v>0</v>
      </c>
      <c r="AR6" s="27">
        <f t="shared" si="3"/>
        <v>0</v>
      </c>
      <c r="AS6" s="27">
        <f t="shared" si="3"/>
        <v>0</v>
      </c>
      <c r="AT6" s="33">
        <f>IF(C3="是",ROUND($A$3*AT5/$B$3,2),0)</f>
        <v>0</v>
      </c>
      <c r="AU6" s="34"/>
      <c r="AV6" s="26" t="s">
        <v>169</v>
      </c>
      <c r="AW6" s="31"/>
      <c r="AX6" s="31"/>
      <c r="AY6" s="35">
        <f>IF(AY3&gt;0,AY3,ROUND($A$3*AZ5/$B$3,2))</f>
        <v>69347.5</v>
      </c>
      <c r="AZ6" s="27" t="s">
        <v>3</v>
      </c>
      <c r="BA6" s="27">
        <f>ROUND($AY$6*BA5/$AZ$5,2)</f>
        <v>64240.12</v>
      </c>
      <c r="BB6" s="27">
        <f>ROUND($AY$6*BB5/$AZ$5,2)</f>
        <v>13920.33</v>
      </c>
      <c r="BC6" s="27">
        <f t="shared" ref="BC6:BH6" si="4">ROUND($AY$6*BC5/$AZ$5,2)</f>
        <v>38338.370000000003</v>
      </c>
      <c r="BD6" s="27">
        <f t="shared" si="4"/>
        <v>1962.55</v>
      </c>
      <c r="BE6" s="27">
        <f t="shared" si="4"/>
        <v>10018.86</v>
      </c>
      <c r="BF6" s="27">
        <f t="shared" si="4"/>
        <v>0</v>
      </c>
      <c r="BG6" s="27">
        <f t="shared" si="4"/>
        <v>0</v>
      </c>
      <c r="BH6" s="27">
        <f t="shared" si="4"/>
        <v>0</v>
      </c>
      <c r="BI6" s="27">
        <f t="shared" ref="BI6:BT6" si="5">ROUND($AY$6*BI5/$AZ$5,2)</f>
        <v>0</v>
      </c>
      <c r="BJ6" s="27">
        <f t="shared" si="5"/>
        <v>0</v>
      </c>
      <c r="BK6" s="27">
        <f t="shared" si="5"/>
        <v>0</v>
      </c>
      <c r="BL6" s="27">
        <f t="shared" si="5"/>
        <v>5107.38</v>
      </c>
      <c r="BM6" s="27">
        <f t="shared" si="5"/>
        <v>0</v>
      </c>
      <c r="BN6" s="27">
        <f t="shared" si="5"/>
        <v>0</v>
      </c>
      <c r="BO6" s="27">
        <f t="shared" si="5"/>
        <v>0</v>
      </c>
      <c r="BP6" s="27">
        <f t="shared" si="5"/>
        <v>0</v>
      </c>
      <c r="BQ6" s="27">
        <f t="shared" si="5"/>
        <v>722.09</v>
      </c>
      <c r="BR6" s="27">
        <f t="shared" si="5"/>
        <v>3369.05</v>
      </c>
      <c r="BS6" s="27">
        <f t="shared" si="5"/>
        <v>1016.25</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4" t="s">
        <v>3208</v>
      </c>
      <c r="J9" s="51"/>
      <c r="K9" s="3044" t="s">
        <v>3208</v>
      </c>
      <c r="L9" s="51"/>
      <c r="M9" s="3044" t="s">
        <v>3213</v>
      </c>
      <c r="N9" s="51"/>
      <c r="O9" s="59" t="s">
        <v>3213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4" t="s">
        <v>3203</v>
      </c>
      <c r="J10" s="51"/>
      <c r="K10" s="3046" t="s">
        <v>1679</v>
      </c>
      <c r="L10" s="51"/>
      <c r="M10" s="3046" t="s">
        <v>3203</v>
      </c>
      <c r="N10" s="51"/>
      <c r="O10" s="66" t="s">
        <v>3221</v>
      </c>
      <c r="P10" s="51"/>
      <c r="Q10" s="66"/>
      <c r="R10" s="51"/>
      <c r="S10" s="66"/>
      <c r="T10" s="51"/>
      <c r="U10" s="66"/>
      <c r="V10" s="51"/>
      <c r="W10" s="66"/>
      <c r="X10" s="51"/>
      <c r="Y10" s="66"/>
      <c r="Z10" s="51"/>
      <c r="AA10" s="66"/>
      <c r="AB10" s="51"/>
      <c r="AC10" s="55"/>
      <c r="AD10" s="2314" t="s">
        <v>2321</v>
      </c>
      <c r="AE10" s="2336"/>
      <c r="AF10" s="2314" t="s">
        <v>2321</v>
      </c>
      <c r="AG10" s="2336"/>
      <c r="AH10" s="2314" t="s">
        <v>2322</v>
      </c>
      <c r="AI10" s="2336"/>
      <c r="AJ10" s="26" t="s">
        <v>2335</v>
      </c>
      <c r="AK10" s="2333"/>
      <c r="AL10" s="2314" t="s">
        <v>2323</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5" t="s">
        <v>3215</v>
      </c>
      <c r="J11" s="71"/>
      <c r="K11" s="3045" t="s">
        <v>3216</v>
      </c>
      <c r="L11" s="71"/>
      <c r="M11" s="70" t="s">
        <v>3214</v>
      </c>
      <c r="N11" s="71"/>
      <c r="O11" s="70" t="s">
        <v>3220</v>
      </c>
      <c r="P11" s="71"/>
      <c r="Q11" s="70"/>
      <c r="R11" s="71"/>
      <c r="S11" s="70"/>
      <c r="T11" s="71"/>
      <c r="U11" s="70"/>
      <c r="V11" s="71"/>
      <c r="W11" s="70"/>
      <c r="X11" s="71"/>
      <c r="Y11" s="70"/>
      <c r="Z11" s="71"/>
      <c r="AA11" s="70"/>
      <c r="AB11" s="71"/>
      <c r="AC11" s="55"/>
      <c r="AD11" s="2334" t="s">
        <v>2334</v>
      </c>
      <c r="AE11" s="1002"/>
      <c r="AF11" s="2334" t="s">
        <v>2334</v>
      </c>
      <c r="AG11" s="1002"/>
      <c r="AH11" s="2334" t="s">
        <v>2333</v>
      </c>
      <c r="AI11" s="2335"/>
      <c r="AJ11" s="2334" t="s">
        <v>2333</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办公</v>
      </c>
      <c r="BD11" s="50" t="str">
        <f>M10</f>
        <v>商业</v>
      </c>
      <c r="BE11" s="50" t="str">
        <f>O10</f>
        <v>车库—商业</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底商</v>
      </c>
      <c r="BC12" s="79" t="str">
        <f>K11</f>
        <v>办公楼</v>
      </c>
      <c r="BD12" s="79" t="str">
        <f>M11</f>
        <v>商业街</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t="s">
        <v>3204</v>
      </c>
      <c r="D13" s="3040" t="s">
        <v>3206</v>
      </c>
      <c r="E13" s="27">
        <f t="shared" ref="E13:E20" si="6">IF($C$3="是",ROUND($A$3*G13/$B$3,2),ROUND($A$3*(G13-AT13)/$B$3,2))</f>
        <v>13367.82</v>
      </c>
      <c r="F13" s="81"/>
      <c r="G13" s="82">
        <f t="shared" ref="G13:G20" si="7">H13+AC13+AT13</f>
        <v>97478.52</v>
      </c>
      <c r="H13" s="33">
        <f t="shared" ref="H13:H20" si="8">SUMIF(I$12:AB$12,"总值",I13:AB13)</f>
        <v>97478.52</v>
      </c>
      <c r="I13" s="3043">
        <v>97478.52</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商业</v>
      </c>
      <c r="AY13" s="996">
        <f t="shared" ref="AY13:AY20" si="11">ROUND($AY$6*AZ13/$AZ$5,2)</f>
        <v>13367.82</v>
      </c>
      <c r="AZ13" s="27">
        <f t="shared" ref="AZ13:AZ20" si="12">BA13+BL13</f>
        <v>97478.52</v>
      </c>
      <c r="BA13" s="27">
        <f t="shared" ref="BA13:BA20" si="13">SUM(BB13:BK13)</f>
        <v>97478.52</v>
      </c>
      <c r="BB13" s="27">
        <f t="shared" ref="BB13:BB20" si="14">IF($D13="是",I13-J13,0)</f>
        <v>97478.52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t="s">
        <v>3205</v>
      </c>
      <c r="D14" s="3040" t="s">
        <v>3207</v>
      </c>
      <c r="E14" s="27">
        <f t="shared" si="6"/>
        <v>38338.370000000003</v>
      </c>
      <c r="F14" s="81"/>
      <c r="G14" s="82">
        <f t="shared" si="7"/>
        <v>279564.38</v>
      </c>
      <c r="H14" s="33">
        <f t="shared" si="8"/>
        <v>279564.38</v>
      </c>
      <c r="I14" s="3043"/>
      <c r="J14" s="3043"/>
      <c r="K14" s="3043">
        <v>279564.38</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办公</v>
      </c>
      <c r="AY14" s="996">
        <f t="shared" si="11"/>
        <v>38338.370000000003</v>
      </c>
      <c r="AZ14" s="27">
        <f t="shared" si="12"/>
        <v>279564.38</v>
      </c>
      <c r="BA14" s="27">
        <f t="shared" si="13"/>
        <v>279564.38</v>
      </c>
      <c r="BB14" s="27">
        <f t="shared" si="14"/>
        <v>0</v>
      </c>
      <c r="BC14" s="27">
        <f t="shared" si="15"/>
        <v>279564.38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t="s">
        <v>3209</v>
      </c>
      <c r="D15" s="3040" t="s">
        <v>3210</v>
      </c>
      <c r="E15" s="27">
        <f t="shared" si="6"/>
        <v>1738.33</v>
      </c>
      <c r="F15" s="81"/>
      <c r="G15" s="82">
        <f t="shared" si="7"/>
        <v>12675.970000000001</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12675.970000000001</v>
      </c>
      <c r="AD15" s="3047"/>
      <c r="AE15" s="3047"/>
      <c r="AF15" s="3047"/>
      <c r="AG15" s="3047"/>
      <c r="AH15" s="3047"/>
      <c r="AI15" s="3047"/>
      <c r="AJ15" s="3047"/>
      <c r="AK15" s="3047"/>
      <c r="AL15" s="3047">
        <f>540+60+2174.2+787.47+1703.8</f>
        <v>5265.47</v>
      </c>
      <c r="AM15" s="3047"/>
      <c r="AN15" s="3047"/>
      <c r="AO15" s="3047"/>
      <c r="AP15" s="3047">
        <f>6178.63+268.87+963</f>
        <v>7410.5</v>
      </c>
      <c r="AQ15" s="3047"/>
      <c r="AR15" s="3047"/>
      <c r="AS15" s="3047"/>
      <c r="AT15" s="3048"/>
      <c r="AU15" s="3049"/>
      <c r="AV15" s="17">
        <f t="shared" si="10"/>
        <v>0</v>
      </c>
      <c r="AW15" s="17">
        <f t="shared" si="10"/>
        <v>0</v>
      </c>
      <c r="AX15" s="17" t="str">
        <f t="shared" si="10"/>
        <v>配套及设备</v>
      </c>
      <c r="AY15" s="996">
        <f t="shared" si="11"/>
        <v>1738.33</v>
      </c>
      <c r="AZ15" s="27">
        <f t="shared" si="12"/>
        <v>12675.970000000001</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12675.970000000001</v>
      </c>
      <c r="BM15" s="27">
        <f t="shared" si="25"/>
        <v>0</v>
      </c>
      <c r="BN15" s="27">
        <f t="shared" si="26"/>
        <v>0</v>
      </c>
      <c r="BO15" s="27">
        <f t="shared" si="27"/>
        <v>0</v>
      </c>
      <c r="BP15" s="27">
        <f t="shared" si="28"/>
        <v>0</v>
      </c>
      <c r="BQ15" s="27">
        <f t="shared" si="29"/>
        <v>5265.47</v>
      </c>
      <c r="BR15" s="27">
        <f t="shared" si="30"/>
        <v>0</v>
      </c>
      <c r="BS15" s="27">
        <f t="shared" si="31"/>
        <v>7410.5</v>
      </c>
      <c r="BT15" s="36">
        <f t="shared" si="32"/>
        <v>0</v>
      </c>
    </row>
    <row r="16" spans="1:72" s="18" customFormat="1" ht="12.75">
      <c r="A16" s="3039"/>
      <c r="B16" s="3039"/>
      <c r="C16" s="3041" t="s">
        <v>3211</v>
      </c>
      <c r="D16" s="3040" t="s">
        <v>3207</v>
      </c>
      <c r="E16" s="27">
        <f t="shared" si="6"/>
        <v>552.51</v>
      </c>
      <c r="F16" s="81"/>
      <c r="G16" s="82">
        <f t="shared" si="7"/>
        <v>4028.9</v>
      </c>
      <c r="H16" s="33">
        <f t="shared" si="8"/>
        <v>4028.9</v>
      </c>
      <c r="I16" s="3043">
        <v>4028.9</v>
      </c>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t="str">
        <f t="shared" si="10"/>
        <v>卸货场</v>
      </c>
      <c r="AY16" s="996">
        <f t="shared" si="11"/>
        <v>552.51</v>
      </c>
      <c r="AZ16" s="27">
        <f t="shared" si="12"/>
        <v>4028.9</v>
      </c>
      <c r="BA16" s="27">
        <f t="shared" si="13"/>
        <v>4028.9</v>
      </c>
      <c r="BB16" s="27">
        <f t="shared" si="14"/>
        <v>4028.9</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t="s">
        <v>3212</v>
      </c>
      <c r="D17" s="3040" t="s">
        <v>1680</v>
      </c>
      <c r="E17" s="27">
        <f t="shared" si="6"/>
        <v>1962.55</v>
      </c>
      <c r="F17" s="81"/>
      <c r="G17" s="82">
        <f t="shared" si="7"/>
        <v>14311</v>
      </c>
      <c r="H17" s="33">
        <f t="shared" si="8"/>
        <v>14311</v>
      </c>
      <c r="I17" s="3043"/>
      <c r="J17" s="3043"/>
      <c r="K17" s="3043"/>
      <c r="L17" s="3043"/>
      <c r="M17" s="3043">
        <v>14311</v>
      </c>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t="str">
        <f t="shared" si="10"/>
        <v>地下商业</v>
      </c>
      <c r="AY17" s="996">
        <f t="shared" si="11"/>
        <v>1962.55</v>
      </c>
      <c r="AZ17" s="27">
        <f t="shared" si="12"/>
        <v>14311</v>
      </c>
      <c r="BA17" s="27">
        <f t="shared" si="13"/>
        <v>14311</v>
      </c>
      <c r="BB17" s="27">
        <f t="shared" si="14"/>
        <v>0</v>
      </c>
      <c r="BC17" s="27">
        <f t="shared" si="15"/>
        <v>0</v>
      </c>
      <c r="BD17" s="27">
        <f t="shared" si="16"/>
        <v>14311</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478" t="s">
        <v>3217</v>
      </c>
      <c r="D18" s="3042" t="s">
        <v>3219</v>
      </c>
      <c r="E18" s="87">
        <f t="shared" si="6"/>
        <v>10018.86</v>
      </c>
      <c r="F18" s="88"/>
      <c r="G18" s="89">
        <f t="shared" si="7"/>
        <v>73057.8</v>
      </c>
      <c r="H18" s="90">
        <f t="shared" si="8"/>
        <v>73057.8</v>
      </c>
      <c r="I18" s="1394"/>
      <c r="J18" s="91"/>
      <c r="K18" s="1394"/>
      <c r="L18" s="91"/>
      <c r="M18" s="91"/>
      <c r="N18" s="91"/>
      <c r="O18" s="91">
        <v>73057.8</v>
      </c>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t="str">
        <f t="shared" si="10"/>
        <v>地下车库</v>
      </c>
      <c r="AY18" s="95">
        <f t="shared" si="11"/>
        <v>10018.86</v>
      </c>
      <c r="AZ18" s="87">
        <f t="shared" si="12"/>
        <v>73057.8</v>
      </c>
      <c r="BA18" s="87">
        <f t="shared" si="13"/>
        <v>73057.8</v>
      </c>
      <c r="BB18" s="87">
        <f t="shared" si="14"/>
        <v>0</v>
      </c>
      <c r="BC18" s="87">
        <f t="shared" si="15"/>
        <v>0</v>
      </c>
      <c r="BD18" s="87">
        <f t="shared" si="16"/>
        <v>0</v>
      </c>
      <c r="BE18" s="87">
        <f t="shared" si="17"/>
        <v>73057.8</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t="s">
        <v>3218</v>
      </c>
      <c r="D19" s="3479" t="s">
        <v>3207</v>
      </c>
      <c r="E19" s="87">
        <f t="shared" si="6"/>
        <v>3369.05</v>
      </c>
      <c r="F19" s="88"/>
      <c r="G19" s="89">
        <f t="shared" si="7"/>
        <v>24567.200000000001</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24567.200000000001</v>
      </c>
      <c r="AD19" s="92"/>
      <c r="AE19" s="92"/>
      <c r="AF19" s="1394"/>
      <c r="AG19" s="92"/>
      <c r="AH19" s="92"/>
      <c r="AI19" s="92"/>
      <c r="AJ19" s="92"/>
      <c r="AK19" s="92"/>
      <c r="AL19" s="92"/>
      <c r="AM19" s="92"/>
      <c r="AN19" s="1394">
        <f>17799.2+6768</f>
        <v>24567.200000000001</v>
      </c>
      <c r="AO19" s="92"/>
      <c r="AP19" s="92"/>
      <c r="AQ19" s="92"/>
      <c r="AR19" s="92"/>
      <c r="AS19" s="92"/>
      <c r="AT19" s="93"/>
      <c r="AU19" s="94"/>
      <c r="AV19" s="992">
        <f t="shared" si="10"/>
        <v>0</v>
      </c>
      <c r="AW19" s="992">
        <f t="shared" si="10"/>
        <v>0</v>
      </c>
      <c r="AX19" s="992" t="str">
        <f t="shared" si="10"/>
        <v>地下设备</v>
      </c>
      <c r="AY19" s="95">
        <f t="shared" si="11"/>
        <v>3369.05</v>
      </c>
      <c r="AZ19" s="87">
        <f t="shared" si="12"/>
        <v>24567.200000000001</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24567.200000000001</v>
      </c>
      <c r="BM19" s="87">
        <f t="shared" si="25"/>
        <v>0</v>
      </c>
      <c r="BN19" s="87">
        <f t="shared" si="26"/>
        <v>0</v>
      </c>
      <c r="BO19" s="87">
        <f t="shared" si="27"/>
        <v>0</v>
      </c>
      <c r="BP19" s="87">
        <f t="shared" si="28"/>
        <v>0</v>
      </c>
      <c r="BQ19" s="87">
        <f t="shared" si="29"/>
        <v>0</v>
      </c>
      <c r="BR19" s="87">
        <f t="shared" si="30"/>
        <v>24567.200000000001</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55" t="s">
        <v>0</v>
      </c>
      <c r="B1" s="3555" t="s">
        <v>4</v>
      </c>
      <c r="C1" s="3555" t="s">
        <v>5</v>
      </c>
      <c r="D1" s="3556" t="s">
        <v>40</v>
      </c>
      <c r="E1" s="3556" t="s">
        <v>41</v>
      </c>
      <c r="F1" s="3556"/>
      <c r="G1" s="3556"/>
      <c r="H1" s="3556"/>
      <c r="I1" s="3556"/>
      <c r="J1" s="3556"/>
      <c r="K1" s="3556"/>
      <c r="L1" s="3556"/>
      <c r="M1" s="3556"/>
    </row>
    <row r="2" spans="1:13" ht="27" customHeight="1">
      <c r="A2" s="3555"/>
      <c r="B2" s="3555"/>
      <c r="C2" s="3555"/>
      <c r="D2" s="3556"/>
      <c r="E2" s="3556" t="s">
        <v>24</v>
      </c>
      <c r="F2" s="3556" t="s">
        <v>25</v>
      </c>
      <c r="G2" s="3556"/>
      <c r="H2" s="3556"/>
      <c r="I2" s="3556"/>
      <c r="J2" s="3556" t="s">
        <v>26</v>
      </c>
      <c r="K2" s="3556"/>
      <c r="L2" s="3556"/>
      <c r="M2" s="3556"/>
    </row>
    <row r="3" spans="1:13" ht="28.5">
      <c r="A3" s="3555"/>
      <c r="B3" s="3555"/>
      <c r="C3" s="3555"/>
      <c r="D3" s="3556"/>
      <c r="E3" s="35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6" t="s">
        <v>42</v>
      </c>
      <c r="B9" s="3556"/>
      <c r="C9" s="35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566" t="s">
        <v>203</v>
      </c>
      <c r="B2" s="3566"/>
      <c r="C2" s="3566"/>
      <c r="D2" s="1975" t="s">
        <v>204</v>
      </c>
      <c r="E2" s="106" t="s">
        <v>205</v>
      </c>
      <c r="F2" s="1984"/>
      <c r="G2" s="1198"/>
      <c r="H2" s="1199"/>
      <c r="I2" s="1200" t="s">
        <v>858</v>
      </c>
      <c r="J2" s="1984"/>
      <c r="K2" s="1984"/>
      <c r="L2" s="1984"/>
    </row>
    <row r="3" spans="1:16" ht="15.75" thickBot="1">
      <c r="A3" s="3567" t="s">
        <v>206</v>
      </c>
      <c r="B3" s="3567"/>
      <c r="C3" s="3567"/>
      <c r="D3" s="107">
        <f>'数据-基础表'!AY6</f>
        <v>69347.5</v>
      </c>
      <c r="E3" s="107">
        <f>'数据-基础表'!AZ5</f>
        <v>505683.77</v>
      </c>
      <c r="F3" s="1984"/>
      <c r="G3" s="280" t="s">
        <v>859</v>
      </c>
      <c r="H3" s="275" t="s">
        <v>860</v>
      </c>
      <c r="I3" s="1976">
        <f>ROUND('数据-基础表'!B3/'数据-基础表'!A3,2)</f>
        <v>7.29</v>
      </c>
      <c r="J3" s="1984"/>
      <c r="K3" s="1984"/>
      <c r="L3" s="1984"/>
    </row>
    <row r="4" spans="1:16" ht="15">
      <c r="A4" s="3568"/>
      <c r="B4" s="3569"/>
      <c r="C4" s="3570"/>
      <c r="D4" s="108" t="s">
        <v>204</v>
      </c>
      <c r="E4" s="109" t="s">
        <v>205</v>
      </c>
      <c r="F4" s="1984"/>
      <c r="G4" s="1201"/>
      <c r="H4" s="275" t="s">
        <v>861</v>
      </c>
      <c r="I4" s="1976">
        <f>ROUND(SUMIF('数据-基础表'!I9:AS9,"地上",'数据-基础表'!I5:AS5)/'数据-基础表'!A3,2)</f>
        <v>5.68</v>
      </c>
      <c r="J4" s="1984"/>
      <c r="K4" s="1984"/>
      <c r="L4" s="1984"/>
    </row>
    <row r="5" spans="1:16">
      <c r="A5" s="110" t="s">
        <v>207</v>
      </c>
      <c r="B5" s="3571" t="s">
        <v>230</v>
      </c>
      <c r="C5" s="3571"/>
      <c r="D5" s="111">
        <f>ROUND($D$3*E5/$E$3,2)</f>
        <v>0</v>
      </c>
      <c r="E5" s="112">
        <f>SUMIF('数据-基础表'!$11:$11,"住宅",'数据-基础表'!$5:$5)</f>
        <v>0</v>
      </c>
      <c r="F5" s="1984"/>
      <c r="G5" s="280" t="s">
        <v>862</v>
      </c>
      <c r="H5" s="275" t="s">
        <v>860</v>
      </c>
      <c r="I5" s="1976">
        <f>ROUND(E31/D31,2)</f>
        <v>7.29</v>
      </c>
      <c r="J5" s="1984"/>
      <c r="K5" s="1984"/>
      <c r="L5" s="1984"/>
    </row>
    <row r="6" spans="1:16" ht="15" thickBot="1">
      <c r="A6" s="113"/>
      <c r="B6" s="3571" t="s">
        <v>208</v>
      </c>
      <c r="C6" s="3571"/>
      <c r="D6" s="111">
        <f>ROUND($D$3*E6/$E$3,2)</f>
        <v>69347.5</v>
      </c>
      <c r="E6" s="112">
        <f>E3-E5</f>
        <v>505683.77</v>
      </c>
      <c r="F6" s="1984"/>
      <c r="G6" s="1201"/>
      <c r="H6" s="275" t="s">
        <v>861</v>
      </c>
      <c r="I6" s="1976">
        <f>ROUND(F31/D31,2)</f>
        <v>5.68</v>
      </c>
      <c r="J6" s="1984"/>
      <c r="K6" s="1984"/>
      <c r="L6" s="1984"/>
    </row>
    <row r="7" spans="1:16" ht="15">
      <c r="A7" s="3563"/>
      <c r="B7" s="3564"/>
      <c r="C7" s="3565"/>
      <c r="D7" s="108" t="s">
        <v>204</v>
      </c>
      <c r="E7" s="114" t="s">
        <v>231</v>
      </c>
      <c r="F7" s="1984"/>
      <c r="G7" s="1156" t="s">
        <v>1647</v>
      </c>
      <c r="H7" s="1157"/>
      <c r="I7" s="1846">
        <v>5.57</v>
      </c>
      <c r="J7" s="1984"/>
      <c r="K7" s="1984"/>
      <c r="L7" s="1984"/>
    </row>
    <row r="8" spans="1:16">
      <c r="A8" s="110" t="s">
        <v>209</v>
      </c>
      <c r="B8" s="115" t="s">
        <v>210</v>
      </c>
      <c r="C8" s="111" t="s">
        <v>211</v>
      </c>
      <c r="D8" s="111">
        <f t="shared" ref="D8:D15" si="0">ROUND($D$3*E8/$E$3,2)</f>
        <v>52258.7</v>
      </c>
      <c r="E8" s="116">
        <f>SUMIF('数据-基础表'!BB10:BK10,"地上",'数据-基础表'!BB5:BK5)</f>
        <v>381071.8</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1962.55</v>
      </c>
      <c r="E10" s="116">
        <f>SUMPRODUCT(('数据-基础表'!BB10:BK10="地下")*('数据-基础表'!BB11:BK11="商业")*('数据-基础表'!BB5:BK5))</f>
        <v>14311</v>
      </c>
      <c r="F10" s="1984"/>
      <c r="G10" s="1986"/>
      <c r="H10" s="1986"/>
      <c r="I10" s="1984"/>
      <c r="J10" s="1984"/>
      <c r="K10" s="1984"/>
      <c r="L10" s="1984"/>
    </row>
    <row r="11" spans="1:16">
      <c r="A11" s="117"/>
      <c r="B11" s="118"/>
      <c r="C11" s="2331" t="s">
        <v>2331</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2338</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10018.86</v>
      </c>
      <c r="E14" s="116">
        <f>SUMPRODUCT(('数据-基础表'!BB10:BK10="地下")*('数据-基础表'!BB11:BK11="车库—商业")*('数据-基础表'!BB5:BK5))</f>
        <v>73057.8</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64240.11</v>
      </c>
      <c r="E16" s="120">
        <f>SUM(E8:E15)</f>
        <v>468440.6</v>
      </c>
      <c r="F16" s="1984"/>
      <c r="G16" s="1986"/>
      <c r="H16" s="968" t="s">
        <v>219</v>
      </c>
      <c r="I16" s="969"/>
      <c r="J16" s="1984"/>
      <c r="K16" s="3557" t="s">
        <v>2573</v>
      </c>
      <c r="L16" s="3558"/>
      <c r="M16" s="3558"/>
      <c r="N16" s="3558"/>
      <c r="O16" s="3558"/>
      <c r="P16" s="3559"/>
    </row>
    <row r="17" spans="1:19" ht="15">
      <c r="A17" s="121" t="s">
        <v>216</v>
      </c>
      <c r="B17" s="122" t="s">
        <v>217</v>
      </c>
      <c r="C17" s="2298" t="s">
        <v>2317</v>
      </c>
      <c r="D17" s="108" t="s">
        <v>204</v>
      </c>
      <c r="E17" s="124" t="s">
        <v>205</v>
      </c>
      <c r="F17" s="125"/>
      <c r="G17" s="1365"/>
      <c r="H17" s="970" t="s">
        <v>218</v>
      </c>
      <c r="I17" s="971" t="s">
        <v>2316</v>
      </c>
      <c r="J17" s="1984"/>
      <c r="K17" s="3560" t="s">
        <v>2574</v>
      </c>
      <c r="L17" s="3561"/>
      <c r="M17" s="3562"/>
      <c r="N17" s="3560" t="s">
        <v>2575</v>
      </c>
      <c r="O17" s="3561"/>
      <c r="P17" s="3562"/>
      <c r="R17" s="2299" t="s">
        <v>2315</v>
      </c>
      <c r="S17" s="144"/>
    </row>
    <row r="18" spans="1:19" ht="15">
      <c r="A18" s="117"/>
      <c r="B18" s="128"/>
      <c r="C18" s="129"/>
      <c r="D18" s="2667"/>
      <c r="E18" s="130" t="s">
        <v>220</v>
      </c>
      <c r="F18" s="131" t="s">
        <v>221</v>
      </c>
      <c r="G18" s="1366" t="s">
        <v>222</v>
      </c>
      <c r="H18" s="972" t="s">
        <v>223</v>
      </c>
      <c r="I18" s="973" t="s">
        <v>224</v>
      </c>
      <c r="J18" s="1984"/>
      <c r="K18" s="2629" t="s">
        <v>2576</v>
      </c>
      <c r="L18" s="2630" t="s">
        <v>2577</v>
      </c>
      <c r="M18" s="2631" t="s">
        <v>2578</v>
      </c>
      <c r="N18" s="2629" t="s">
        <v>2576</v>
      </c>
      <c r="O18" s="2630" t="s">
        <v>2577</v>
      </c>
      <c r="P18" s="2631" t="s">
        <v>2578</v>
      </c>
      <c r="R18" s="2300" t="s">
        <v>2313</v>
      </c>
      <c r="S18" s="2300" t="s">
        <v>2314</v>
      </c>
    </row>
    <row r="19" spans="1:19">
      <c r="A19" s="133"/>
      <c r="B19" s="115" t="s">
        <v>225</v>
      </c>
      <c r="C19" s="3050" t="s">
        <v>3222</v>
      </c>
      <c r="D19" s="111">
        <f t="shared" ref="D19:D26" si="1">ROUND($D$3*E19/$E$3,2)</f>
        <v>13367.82</v>
      </c>
      <c r="E19" s="134">
        <f t="shared" ref="E19:E26" si="2">SUM(F19:G19)</f>
        <v>97478.52</v>
      </c>
      <c r="F19" s="135">
        <f>'数据-基础表'!I13</f>
        <v>97478.52</v>
      </c>
      <c r="G19" s="1367"/>
      <c r="H19" s="974">
        <f>ROUND($D$3*I19/$E$3,2)</f>
        <v>1062.8</v>
      </c>
      <c r="I19" s="116">
        <f>IF($I$17="自定义",P19,M19)</f>
        <v>7749.99</v>
      </c>
      <c r="J19" s="1984"/>
      <c r="K19" s="2632">
        <f t="shared" ref="K19:K26" si="3">ROUND(E$28*E19/E$27,2)</f>
        <v>7749.99</v>
      </c>
      <c r="L19" s="275">
        <f t="shared" ref="L19:L26" si="4">ROUND(IF(COUNTIF(C19,"*住宅*")&gt;0,E$29*E19/E$32,0),2)</f>
        <v>0</v>
      </c>
      <c r="M19" s="2633">
        <f>K19+L19</f>
        <v>7749.99</v>
      </c>
      <c r="N19" s="2634"/>
      <c r="O19" s="2635"/>
      <c r="P19" s="2636">
        <f>N19+O19</f>
        <v>0</v>
      </c>
      <c r="R19" s="275">
        <f t="shared" ref="R19:S26" si="5">D19+H19</f>
        <v>14430.619999999999</v>
      </c>
      <c r="S19" s="2301">
        <f t="shared" si="5"/>
        <v>105228.51000000001</v>
      </c>
    </row>
    <row r="20" spans="1:19">
      <c r="A20" s="138"/>
      <c r="B20" s="115" t="s">
        <v>226</v>
      </c>
      <c r="C20" s="3050" t="s">
        <v>3223</v>
      </c>
      <c r="D20" s="111">
        <f t="shared" si="1"/>
        <v>38338.370000000003</v>
      </c>
      <c r="E20" s="134">
        <f t="shared" si="2"/>
        <v>279564.38</v>
      </c>
      <c r="F20" s="135">
        <f>'数据-基础表'!K14</f>
        <v>279564.38</v>
      </c>
      <c r="G20" s="1367"/>
      <c r="H20" s="974">
        <f t="shared" ref="H20:H26" si="6">ROUND($D$3*I20/$E$3,2)</f>
        <v>3048.08</v>
      </c>
      <c r="I20" s="116">
        <f t="shared" ref="I20:I26" si="7">IF($I$17="自定义",P20,M20)</f>
        <v>22226.65</v>
      </c>
      <c r="J20" s="1984"/>
      <c r="K20" s="2632">
        <f t="shared" si="3"/>
        <v>22226.65</v>
      </c>
      <c r="L20" s="275">
        <f t="shared" si="4"/>
        <v>0</v>
      </c>
      <c r="M20" s="2633">
        <f t="shared" ref="M20:M26" si="8">K20+L20</f>
        <v>22226.65</v>
      </c>
      <c r="N20" s="2634"/>
      <c r="O20" s="2635"/>
      <c r="P20" s="2636">
        <f t="shared" ref="P20:P26" si="9">N20+O20</f>
        <v>0</v>
      </c>
      <c r="R20" s="275">
        <f t="shared" si="5"/>
        <v>41386.450000000004</v>
      </c>
      <c r="S20" s="2301">
        <f t="shared" si="5"/>
        <v>301791.03000000003</v>
      </c>
    </row>
    <row r="21" spans="1:19">
      <c r="A21" s="138"/>
      <c r="B21" s="115" t="s">
        <v>226</v>
      </c>
      <c r="C21" s="3050" t="s">
        <v>3224</v>
      </c>
      <c r="D21" s="111">
        <f t="shared" si="1"/>
        <v>552.51</v>
      </c>
      <c r="E21" s="134">
        <f t="shared" si="2"/>
        <v>4028.9</v>
      </c>
      <c r="F21" s="135">
        <f>'数据-基础表'!I16</f>
        <v>4028.9</v>
      </c>
      <c r="G21" s="1367"/>
      <c r="H21" s="974">
        <f t="shared" si="6"/>
        <v>43.93</v>
      </c>
      <c r="I21" s="116">
        <f t="shared" si="7"/>
        <v>320.32</v>
      </c>
      <c r="J21" s="1984"/>
      <c r="K21" s="2632">
        <f t="shared" si="3"/>
        <v>320.32</v>
      </c>
      <c r="L21" s="275">
        <f t="shared" si="4"/>
        <v>0</v>
      </c>
      <c r="M21" s="2633">
        <f t="shared" si="8"/>
        <v>320.32</v>
      </c>
      <c r="N21" s="2634"/>
      <c r="O21" s="2635"/>
      <c r="P21" s="2636">
        <f t="shared" si="9"/>
        <v>0</v>
      </c>
      <c r="R21" s="275">
        <f t="shared" si="5"/>
        <v>596.43999999999994</v>
      </c>
      <c r="S21" s="2301">
        <f t="shared" si="5"/>
        <v>4349.22</v>
      </c>
    </row>
    <row r="22" spans="1:19">
      <c r="A22" s="138"/>
      <c r="B22" s="115" t="s">
        <v>226</v>
      </c>
      <c r="C22" s="3480" t="s">
        <v>3225</v>
      </c>
      <c r="D22" s="111">
        <f t="shared" si="1"/>
        <v>1962.55</v>
      </c>
      <c r="E22" s="134">
        <f t="shared" si="2"/>
        <v>14311</v>
      </c>
      <c r="F22" s="140"/>
      <c r="G22" s="1368">
        <f>'数据-基础表'!M17</f>
        <v>14311</v>
      </c>
      <c r="H22" s="974">
        <f t="shared" si="6"/>
        <v>156.03</v>
      </c>
      <c r="I22" s="116">
        <f t="shared" si="7"/>
        <v>1137.79</v>
      </c>
      <c r="J22" s="1984"/>
      <c r="K22" s="2632">
        <f t="shared" si="3"/>
        <v>1137.79</v>
      </c>
      <c r="L22" s="275">
        <f t="shared" si="4"/>
        <v>0</v>
      </c>
      <c r="M22" s="2633">
        <f t="shared" si="8"/>
        <v>1137.79</v>
      </c>
      <c r="N22" s="2634"/>
      <c r="O22" s="2635"/>
      <c r="P22" s="2636">
        <f t="shared" si="9"/>
        <v>0</v>
      </c>
      <c r="R22" s="275">
        <f t="shared" si="5"/>
        <v>2118.58</v>
      </c>
      <c r="S22" s="2301">
        <f t="shared" si="5"/>
        <v>15448.79</v>
      </c>
    </row>
    <row r="23" spans="1:19">
      <c r="A23" s="138"/>
      <c r="B23" s="115" t="s">
        <v>226</v>
      </c>
      <c r="C23" s="3480" t="s">
        <v>3226</v>
      </c>
      <c r="D23" s="111">
        <f>ROUND($D$3*E23/$E$3,2)</f>
        <v>10018.86</v>
      </c>
      <c r="E23" s="134">
        <f>SUM(F23:G23)</f>
        <v>73057.8</v>
      </c>
      <c r="F23" s="140"/>
      <c r="G23" s="1368">
        <f>'数据-基础表'!O18</f>
        <v>73057.8</v>
      </c>
      <c r="H23" s="974">
        <f>ROUND($D$3*I23/$E$3,2)</f>
        <v>796.55</v>
      </c>
      <c r="I23" s="116">
        <f t="shared" si="7"/>
        <v>5808.43</v>
      </c>
      <c r="J23" s="1984"/>
      <c r="K23" s="2632">
        <f t="shared" si="3"/>
        <v>5808.43</v>
      </c>
      <c r="L23" s="275">
        <f t="shared" si="4"/>
        <v>0</v>
      </c>
      <c r="M23" s="2633">
        <f t="shared" si="8"/>
        <v>5808.43</v>
      </c>
      <c r="N23" s="2634"/>
      <c r="O23" s="2635"/>
      <c r="P23" s="2636">
        <f t="shared" si="9"/>
        <v>0</v>
      </c>
      <c r="R23" s="275">
        <f t="shared" si="5"/>
        <v>10815.41</v>
      </c>
      <c r="S23" s="2301">
        <f t="shared" si="5"/>
        <v>78866.23000000001</v>
      </c>
    </row>
    <row r="24" spans="1:19">
      <c r="A24" s="138"/>
      <c r="B24" s="115" t="s">
        <v>226</v>
      </c>
      <c r="C24" s="139"/>
      <c r="D24" s="111">
        <f>ROUND($D$3*E24/$E$3,2)</f>
        <v>0</v>
      </c>
      <c r="E24" s="134">
        <f>SUM(F24:G24)</f>
        <v>0</v>
      </c>
      <c r="F24" s="140"/>
      <c r="G24" s="1368"/>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64240.110000000008</v>
      </c>
      <c r="E27" s="143">
        <f>IF(SUM(E19:E26)='数据-基础表'!BA5,SUM(E19:E26),IF(F27="地上面积有误","面积有误","地下面积有误"))</f>
        <v>468440.60000000003</v>
      </c>
      <c r="F27" s="134">
        <f>IF(SUM(F19:F26)=E8,SUM(F19:F26),"地上面积有误")</f>
        <v>381071.80000000005</v>
      </c>
      <c r="G27" s="112">
        <f>SUM(G19:G26)</f>
        <v>87368.8</v>
      </c>
      <c r="H27" s="975">
        <f>SUM(H19:H26)</f>
        <v>5107.3900000000003</v>
      </c>
      <c r="I27" s="976">
        <f>SUM(I19:I26)</f>
        <v>37243.18</v>
      </c>
      <c r="J27" s="1984"/>
      <c r="K27" s="2641">
        <f>SUM(K19:K26)</f>
        <v>37243.18</v>
      </c>
      <c r="L27" s="2642">
        <f>SUM(L19:L26)</f>
        <v>0</v>
      </c>
      <c r="M27" s="2643">
        <f>SUM(M19:M26)</f>
        <v>37243.18</v>
      </c>
      <c r="N27" s="2641">
        <f t="shared" ref="N27:O27" si="10">SUM(N19:N26)</f>
        <v>0</v>
      </c>
      <c r="O27" s="2642">
        <f t="shared" si="10"/>
        <v>0</v>
      </c>
      <c r="P27" s="2644">
        <f>SUM(P19:P26)</f>
        <v>0</v>
      </c>
      <c r="R27" s="2305">
        <f>IF(SUM(R19:R26)=$D$3,SUM(R19:R26),SUM(R19:R26)&amp;"误差"&amp;ROUND(SUM(R19:R26)-$D$3,2))</f>
        <v>69347.500000000015</v>
      </c>
      <c r="S27" s="275" t="str">
        <f>IF(SUM(S19:S26)=$E$3,SUM(S19:S26),SUM(S19:S26)&amp;"误差"&amp;ROUND(SUM(S19:S26)-E3,2))</f>
        <v>505683.78误差0.01</v>
      </c>
    </row>
    <row r="28" spans="1:19">
      <c r="A28" s="138"/>
      <c r="B28" s="115" t="s">
        <v>227</v>
      </c>
      <c r="C28" s="136" t="s">
        <v>228</v>
      </c>
      <c r="D28" s="111">
        <f>ROUND($D$3*E28/$E$3,2)</f>
        <v>5107.38</v>
      </c>
      <c r="E28" s="134">
        <f>SUM(F28:G28)</f>
        <v>37243.17</v>
      </c>
      <c r="F28" s="144">
        <f>'数据-基础表'!BQ5+'数据-基础表'!BS5</f>
        <v>12675.970000000001</v>
      </c>
      <c r="G28" s="145">
        <f>'数据-基础表'!BR5+'数据-基础表'!BT5</f>
        <v>24567.200000000001</v>
      </c>
      <c r="H28" s="1984"/>
      <c r="I28" s="1984"/>
      <c r="J28" s="1984"/>
      <c r="K28" s="1984"/>
      <c r="L28" s="1984"/>
    </row>
    <row r="29" spans="1:19">
      <c r="A29" s="138"/>
      <c r="B29" s="115" t="s">
        <v>227</v>
      </c>
      <c r="C29" s="2313" t="s">
        <v>2324</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5107.38</v>
      </c>
      <c r="E30" s="134">
        <f>SUM(E28:E29)</f>
        <v>37243.17</v>
      </c>
      <c r="F30" s="134">
        <f>SUM(F28:F29)</f>
        <v>12675.970000000001</v>
      </c>
      <c r="G30" s="112">
        <f>SUM(G28:G29)</f>
        <v>24567.200000000001</v>
      </c>
      <c r="H30" s="1984"/>
      <c r="I30" s="1984"/>
      <c r="J30" s="1984"/>
      <c r="K30" s="1984"/>
      <c r="L30" s="1984"/>
    </row>
    <row r="31" spans="1:19" ht="32.25" customHeight="1" thickBot="1">
      <c r="A31" s="1369"/>
      <c r="B31" s="1370" t="s">
        <v>229</v>
      </c>
      <c r="C31" s="2330" t="s">
        <v>2326</v>
      </c>
      <c r="D31" s="1371">
        <f>D27+D30</f>
        <v>69347.490000000005</v>
      </c>
      <c r="E31" s="1371">
        <f>E27+E30</f>
        <v>505683.77</v>
      </c>
      <c r="F31" s="1372">
        <f>F27+F30</f>
        <v>393747.77</v>
      </c>
      <c r="G31" s="1373">
        <f>G27+G30</f>
        <v>111936</v>
      </c>
      <c r="H31" s="1984"/>
      <c r="I31" s="1984"/>
      <c r="J31" s="1984"/>
      <c r="K31" s="1984"/>
      <c r="L31" s="1984"/>
    </row>
    <row r="32" spans="1:19">
      <c r="A32" s="1984"/>
      <c r="B32" s="2363" t="s">
        <v>2325</v>
      </c>
      <c r="C32" s="2672"/>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27" sqref="M2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43167</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40.5">
      <c r="A5" s="2304"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2835</v>
      </c>
      <c r="O5" s="163" t="s">
        <v>246</v>
      </c>
      <c r="P5" s="165" t="s">
        <v>247</v>
      </c>
      <c r="Q5" s="166" t="s">
        <v>248</v>
      </c>
      <c r="R5" s="167" t="s">
        <v>249</v>
      </c>
      <c r="S5" s="2645" t="s">
        <v>2579</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2327</v>
      </c>
      <c r="AI5" s="171" t="s">
        <v>2296</v>
      </c>
      <c r="AJ5" s="171" t="s">
        <v>258</v>
      </c>
      <c r="AK5" s="159" t="s">
        <v>259</v>
      </c>
      <c r="AL5" s="159" t="s">
        <v>260</v>
      </c>
      <c r="AM5" s="172" t="s">
        <v>261</v>
      </c>
      <c r="AN5" s="2415" t="s">
        <v>2378</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地上商业</v>
      </c>
      <c r="B6" s="2337" t="str">
        <f>IF(A6=0,"","经营性")</f>
        <v>经营性</v>
      </c>
      <c r="C6" s="173" t="s">
        <v>3203</v>
      </c>
      <c r="D6" s="2308">
        <f>SUMIF(项目基本情况!D$15:I$15,C6,项目基本情况!D$18:I$18)</f>
        <v>40</v>
      </c>
      <c r="E6" s="2309">
        <f>IF(B6="","",SUMIF(项目基本情况!D$15:I$15,C6,项目基本情况!D$17:I$17))</f>
        <v>56327</v>
      </c>
      <c r="F6" s="174">
        <f>SUMIF(项目基本情况!D$15:I$15,C6,项目基本情况!D$19:I$19)</f>
        <v>36.049999999999997</v>
      </c>
      <c r="G6" s="175">
        <f>IF(ISERROR(ROUND(POWER(1+H6,D6-F6)*(POWER(1+H6,F6)-1)/(POWER(1+H6,D6)-1),3)),0,ROUND(POWER(1+H6,D6-F6)*(POWER(1+H6,F6)-1)/(POWER(1+H6,D6)-1),3))</f>
        <v>0.96499999999999997</v>
      </c>
      <c r="H6" s="3051">
        <v>0.05</v>
      </c>
      <c r="I6" s="3051">
        <v>5.5E-2</v>
      </c>
      <c r="J6" s="176">
        <v>8.5000000000000006E-2</v>
      </c>
      <c r="K6" s="179">
        <f>SUMIF('数据-汇总表'!C$19:C$33,'数据-取费表'!A6,'数据-汇总表'!E$19:E$33)</f>
        <v>97478.52</v>
      </c>
      <c r="L6" s="3052">
        <v>3000</v>
      </c>
      <c r="M6" s="177">
        <f t="shared" ref="M6:M14" si="0">ROUND(K6*L6/10000,0)</f>
        <v>29244</v>
      </c>
      <c r="N6" s="3053">
        <v>0</v>
      </c>
      <c r="O6" s="177">
        <f>IF($N$5="成新度","——",ROUND(M6*N6,0))</f>
        <v>0</v>
      </c>
      <c r="P6" s="178">
        <f>IF($N$5="成新度","——",M6-O6)</f>
        <v>29244</v>
      </c>
      <c r="Q6" s="3054">
        <v>0.2</v>
      </c>
      <c r="R6" s="179">
        <f>SUMIF('数据-汇总表'!C$19:C$33,A6,'数据-汇总表'!R$19:R$33)</f>
        <v>14430.619999999999</v>
      </c>
      <c r="S6" s="132">
        <f>IF('数据-汇总表'!$I$17="按面积比例",SUMIF('数据-汇总表'!C$19:C$33,A6,'数据-汇总表'!K$19:K$33),SUMIF('数据-汇总表'!C$19:C$33,A6,'数据-汇总表'!N$19:N$33))</f>
        <v>7749.99</v>
      </c>
      <c r="T6" s="2234">
        <f>IF($T$4="按面积比例",IF(ISERROR(ROUND($M$14*S6/S$16,0)),"0",ROUND($M$14*S6/S$16,0)),"需自行计算录入")</f>
        <v>1395</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65"/>
      <c r="AN6" s="2416"/>
      <c r="AO6" s="2000"/>
      <c r="AP6" s="1204">
        <f>ROUND(1-1/(1+H6)^F6,3)</f>
        <v>0.82799999999999996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办公</v>
      </c>
      <c r="B7" s="2337" t="str">
        <f t="shared" ref="B7:B13" si="1">IF(A7=0,"","经营性")</f>
        <v>经营性</v>
      </c>
      <c r="C7" s="173" t="s">
        <v>1679</v>
      </c>
      <c r="D7" s="2308">
        <f>SUMIF(项目基本情况!D$15:I$15,C7,项目基本情况!D$18:I$18)</f>
        <v>40</v>
      </c>
      <c r="E7" s="2309">
        <f>IF(B7="","",SUMIF(项目基本情况!D$15:I$15,C7,项目基本情况!D$17:I$17))</f>
        <v>56327</v>
      </c>
      <c r="F7" s="174">
        <f>SUMIF(项目基本情况!D$15:I$15,C7,项目基本情况!D$19:I$19)</f>
        <v>36.049999999999997</v>
      </c>
      <c r="G7" s="175">
        <f t="shared" ref="G7:G11" si="2">IF(ISERROR(ROUND(POWER(1+H7,D7-F7)*(POWER(1+H7,F7)-1)/(POWER(1+H7,D7)-1),3)),0,ROUND(POWER(1+H7,D7-F7)*(POWER(1+H7,F7)-1)/(POWER(1+H7,D7)-1),3))</f>
        <v>0.96499999999999997</v>
      </c>
      <c r="H7" s="3051">
        <v>0.05</v>
      </c>
      <c r="I7" s="3051">
        <v>5.5E-2</v>
      </c>
      <c r="J7" s="176">
        <v>8.5000000000000006E-2</v>
      </c>
      <c r="K7" s="179">
        <f>SUMIF('数据-汇总表'!C$19:C$33,'数据-取费表'!A7,'数据-汇总表'!E$19:E$33)</f>
        <v>279564.38</v>
      </c>
      <c r="L7" s="3052">
        <v>4000</v>
      </c>
      <c r="M7" s="177">
        <f t="shared" si="0"/>
        <v>111826</v>
      </c>
      <c r="N7" s="3053">
        <v>0</v>
      </c>
      <c r="O7" s="177">
        <f t="shared" ref="O7:O14" si="3">IF($N$5="成新度","——",ROUND(M7*N7,0))</f>
        <v>0</v>
      </c>
      <c r="P7" s="178">
        <f t="shared" ref="P7:P14" si="4">IF($N$5="成新度","——",M7-O7)</f>
        <v>111826</v>
      </c>
      <c r="Q7" s="3054">
        <v>0.2</v>
      </c>
      <c r="R7" s="179">
        <f>SUMIF('数据-汇总表'!C$19:C$33,A7,'数据-汇总表'!R$19:R$33)</f>
        <v>41386.450000000004</v>
      </c>
      <c r="S7" s="132">
        <f>IF('数据-汇总表'!$I$17="按面积比例",SUMIF('数据-汇总表'!C$19:C$33,A7,'数据-汇总表'!K$19:K$33),SUMIF('数据-汇总表'!C$19:C$33,A7,'数据-汇总表'!N$19:N$33))</f>
        <v>22226.65</v>
      </c>
      <c r="T7" s="2234">
        <f t="shared" ref="T7:T13" si="5">IF($T$4="按面积比例",IF(ISERROR(ROUND($M$14*S7/S$16,0)),"0",ROUND($M$14*S7/S$16,0)),"需自行计算录入")</f>
        <v>4001</v>
      </c>
      <c r="U7" s="180">
        <v>2</v>
      </c>
      <c r="V7" s="181">
        <v>0.03</v>
      </c>
      <c r="W7" s="181">
        <v>0.12</v>
      </c>
      <c r="X7" s="2321"/>
      <c r="Y7" s="182">
        <v>1</v>
      </c>
      <c r="Z7" s="183"/>
      <c r="AA7" s="176"/>
      <c r="AB7" s="176"/>
      <c r="AC7" s="2324"/>
      <c r="AD7" s="184"/>
      <c r="AE7" s="972">
        <f t="shared" ref="AE7:AE13" ca="1" si="6">IF(AN7="",0,SUMIF(INDIRECT("'"&amp;AN7&amp;"'"&amp;"!E:E"),$AE$5,INDIRECT("'"&amp;AN7&amp;"'"&amp;"!F:F")))</f>
        <v>33.049999999999997</v>
      </c>
      <c r="AF7" s="141"/>
      <c r="AG7" s="1213">
        <f t="shared" ref="AG7:AG13" si="7">IF(AF7="",0,AE7-AF7)</f>
        <v>0</v>
      </c>
      <c r="AH7" s="141"/>
      <c r="AI7" s="187">
        <v>365</v>
      </c>
      <c r="AJ7" s="188"/>
      <c r="AK7" s="189">
        <v>1.4999999999999999E-2</v>
      </c>
      <c r="AL7" s="190">
        <v>1.5E-3</v>
      </c>
      <c r="AM7" s="2414">
        <v>0.02</v>
      </c>
      <c r="AN7" s="2416" t="s">
        <v>3317</v>
      </c>
      <c r="AO7" s="2000"/>
      <c r="AP7" s="1204">
        <f t="shared" ref="AP7:AP13" si="8">ROUND(1-1/(1+H7)^F7,3)</f>
        <v>0.82799999999999996</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卸货场</v>
      </c>
      <c r="B8" s="2337" t="str">
        <f t="shared" si="1"/>
        <v>经营性</v>
      </c>
      <c r="C8" s="173" t="s">
        <v>3203</v>
      </c>
      <c r="D8" s="2308">
        <f>SUMIF(项目基本情况!D$15:I$15,C8,项目基本情况!D$18:I$18)</f>
        <v>40</v>
      </c>
      <c r="E8" s="2309">
        <f>IF(B8="","",SUMIF(项目基本情况!D$15:I$15,C8,项目基本情况!D$17:I$17))</f>
        <v>56327</v>
      </c>
      <c r="F8" s="174">
        <f>SUMIF(项目基本情况!D$15:I$15,C8,项目基本情况!D$19:I$19)</f>
        <v>36.049999999999997</v>
      </c>
      <c r="G8" s="175">
        <f t="shared" si="2"/>
        <v>0.96499999999999997</v>
      </c>
      <c r="H8" s="3051">
        <v>0.05</v>
      </c>
      <c r="I8" s="3051">
        <v>5.5E-2</v>
      </c>
      <c r="J8" s="176">
        <v>8.5000000000000006E-2</v>
      </c>
      <c r="K8" s="179">
        <f>SUMIF('数据-汇总表'!C$19:C$33,'数据-取费表'!A8,'数据-汇总表'!E$19:E$33)</f>
        <v>4028.9</v>
      </c>
      <c r="L8" s="3052">
        <v>2500</v>
      </c>
      <c r="M8" s="177">
        <f>ROUND(K8*L8/10000,0)</f>
        <v>1007</v>
      </c>
      <c r="N8" s="3053">
        <v>0</v>
      </c>
      <c r="O8" s="177">
        <f t="shared" si="3"/>
        <v>0</v>
      </c>
      <c r="P8" s="178">
        <f t="shared" si="4"/>
        <v>1007</v>
      </c>
      <c r="Q8" s="3054">
        <v>0.2</v>
      </c>
      <c r="R8" s="179">
        <f>SUMIF('数据-汇总表'!C$19:C$33,A8,'数据-汇总表'!R$19:R$33)</f>
        <v>596.43999999999994</v>
      </c>
      <c r="S8" s="132">
        <f>IF('数据-汇总表'!$I$17="按面积比例",SUMIF('数据-汇总表'!C$19:C$33,A8,'数据-汇总表'!K$19:K$33),SUMIF('数据-汇总表'!C$19:C$33,A8,'数据-汇总表'!N$19:N$33))</f>
        <v>320.32</v>
      </c>
      <c r="T8" s="2234">
        <f t="shared" si="5"/>
        <v>58</v>
      </c>
      <c r="U8" s="180"/>
      <c r="V8" s="181"/>
      <c r="W8" s="181"/>
      <c r="X8" s="2321"/>
      <c r="Y8" s="182"/>
      <c r="Z8" s="183"/>
      <c r="AA8" s="176"/>
      <c r="AB8" s="176"/>
      <c r="AC8" s="2324"/>
      <c r="AD8" s="184"/>
      <c r="AE8" s="972">
        <f t="shared" ca="1" si="6"/>
        <v>0</v>
      </c>
      <c r="AF8" s="141"/>
      <c r="AG8" s="1213">
        <f t="shared" si="7"/>
        <v>0</v>
      </c>
      <c r="AH8" s="141"/>
      <c r="AI8" s="187"/>
      <c r="AJ8" s="188"/>
      <c r="AK8" s="189"/>
      <c r="AL8" s="190"/>
      <c r="AM8" s="2414"/>
      <c r="AN8" s="2416"/>
      <c r="AO8" s="2000"/>
      <c r="AP8" s="1204">
        <f t="shared" si="8"/>
        <v>0.82799999999999996</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地下商业</v>
      </c>
      <c r="B9" s="2337" t="str">
        <f t="shared" si="1"/>
        <v>经营性</v>
      </c>
      <c r="C9" s="173" t="s">
        <v>3203</v>
      </c>
      <c r="D9" s="2308">
        <f>SUMIF(项目基本情况!D$15:I$15,C9,项目基本情况!D$18:I$18)</f>
        <v>40</v>
      </c>
      <c r="E9" s="2309">
        <f>IF(B9="","",SUMIF(项目基本情况!D$15:I$15,C9,项目基本情况!D$17:I$17))</f>
        <v>56327</v>
      </c>
      <c r="F9" s="174">
        <f>SUMIF(项目基本情况!D$15:I$15,C9,项目基本情况!D$19:I$19)</f>
        <v>36.049999999999997</v>
      </c>
      <c r="G9" s="175">
        <f t="shared" si="2"/>
        <v>0.96499999999999997</v>
      </c>
      <c r="H9" s="176">
        <v>0.05</v>
      </c>
      <c r="I9" s="176">
        <v>5.5E-2</v>
      </c>
      <c r="J9" s="176">
        <v>8.5000000000000006E-2</v>
      </c>
      <c r="K9" s="179">
        <f>SUMIF('数据-汇总表'!C$19:C$33,'数据-取费表'!A9,'数据-汇总表'!E$19:E$33)</f>
        <v>14311</v>
      </c>
      <c r="L9" s="193">
        <v>2500</v>
      </c>
      <c r="M9" s="177">
        <f t="shared" si="0"/>
        <v>3578</v>
      </c>
      <c r="N9" s="194">
        <v>0</v>
      </c>
      <c r="O9" s="177">
        <f t="shared" si="3"/>
        <v>0</v>
      </c>
      <c r="P9" s="178">
        <f t="shared" si="4"/>
        <v>3578</v>
      </c>
      <c r="Q9" s="192">
        <v>0.2</v>
      </c>
      <c r="R9" s="179">
        <f>SUMIF('数据-汇总表'!C$19:C$33,A9,'数据-汇总表'!R$19:R$33)</f>
        <v>2118.58</v>
      </c>
      <c r="S9" s="132">
        <f>IF('数据-汇总表'!$I$17="按面积比例",SUMIF('数据-汇总表'!C$19:C$33,A9,'数据-汇总表'!K$19:K$33),SUMIF('数据-汇总表'!C$19:C$33,A9,'数据-汇总表'!N$19:N$33))</f>
        <v>1137.79</v>
      </c>
      <c r="T9" s="2234">
        <f t="shared" si="5"/>
        <v>205</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0.82799999999999996</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t="str">
        <f>'数据-汇总表'!C23</f>
        <v>地下车库</v>
      </c>
      <c r="B10" s="2337" t="str">
        <f t="shared" si="1"/>
        <v>经营性</v>
      </c>
      <c r="C10" s="173" t="s">
        <v>3220</v>
      </c>
      <c r="D10" s="2308">
        <f>SUMIF(项目基本情况!D$15:I$15,C10,项目基本情况!D$18:I$18)</f>
        <v>50</v>
      </c>
      <c r="E10" s="2309">
        <f>IF(B10="","",SUMIF(项目基本情况!D$15:I$15,C10,项目基本情况!D$17:I$17))</f>
        <v>59980</v>
      </c>
      <c r="F10" s="174">
        <f>SUMIF(项目基本情况!D$15:I$15,C10,项目基本情况!D$19:I$19)</f>
        <v>46.06</v>
      </c>
      <c r="G10" s="175">
        <f t="shared" si="2"/>
        <v>0.97599999999999998</v>
      </c>
      <c r="H10" s="176">
        <v>4.4999999999999998E-2</v>
      </c>
      <c r="I10" s="176">
        <v>0.05</v>
      </c>
      <c r="J10" s="176">
        <v>8.5000000000000006E-2</v>
      </c>
      <c r="K10" s="179">
        <f>SUMIF('数据-汇总表'!C$19:C$33,'数据-取费表'!A10,'数据-汇总表'!E$19:E$33)</f>
        <v>73057.8</v>
      </c>
      <c r="L10" s="193">
        <v>2200</v>
      </c>
      <c r="M10" s="177">
        <f t="shared" si="0"/>
        <v>16073</v>
      </c>
      <c r="N10" s="194">
        <v>0</v>
      </c>
      <c r="O10" s="177">
        <f t="shared" si="3"/>
        <v>0</v>
      </c>
      <c r="P10" s="178">
        <f t="shared" si="4"/>
        <v>16073</v>
      </c>
      <c r="Q10" s="192">
        <v>0.1</v>
      </c>
      <c r="R10" s="179">
        <f>SUMIF('数据-汇总表'!C$19:C$33,A10,'数据-汇总表'!R$19:R$33)</f>
        <v>10815.41</v>
      </c>
      <c r="S10" s="132">
        <f>IF('数据-汇总表'!$I$17="按面积比例",SUMIF('数据-汇总表'!C$19:C$33,A10,'数据-汇总表'!K$19:K$33),SUMIF('数据-汇总表'!C$19:C$33,A10,'数据-汇总表'!N$19:N$33))</f>
        <v>5808.43</v>
      </c>
      <c r="T10" s="2234">
        <f t="shared" si="5"/>
        <v>1046</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0.86799999999999999</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2318</v>
      </c>
      <c r="B14" s="2306" t="s">
        <v>1681</v>
      </c>
      <c r="C14" s="2307" t="s">
        <v>2318</v>
      </c>
      <c r="D14" s="2308"/>
      <c r="E14" s="2309"/>
      <c r="F14" s="174"/>
      <c r="G14" s="175"/>
      <c r="H14" s="2310"/>
      <c r="I14" s="2310"/>
      <c r="J14" s="2310"/>
      <c r="K14" s="179">
        <f>SUMIF('数据-汇总表'!C$19:C$33,'数据-取费表'!A14,'数据-汇总表'!E$19:E$33)</f>
        <v>37243.17</v>
      </c>
      <c r="L14" s="193">
        <v>1800</v>
      </c>
      <c r="M14" s="177">
        <f t="shared" si="0"/>
        <v>6704</v>
      </c>
      <c r="N14" s="194">
        <v>0</v>
      </c>
      <c r="O14" s="177">
        <f t="shared" si="3"/>
        <v>0</v>
      </c>
      <c r="P14" s="178">
        <f t="shared" si="4"/>
        <v>6704</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2320</v>
      </c>
      <c r="B15" s="2306" t="s">
        <v>1681</v>
      </c>
      <c r="C15" s="2307" t="s">
        <v>2319</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0.96699999999999997</v>
      </c>
      <c r="H16" s="203">
        <f>ROUND(SUMPRODUCT(H6:H13,K6:K13)/SUMPRODUCT((H6:H13&gt;0)*(K6:K13)),3)</f>
        <v>4.9000000000000002E-2</v>
      </c>
      <c r="I16" s="204"/>
      <c r="J16" s="204"/>
      <c r="K16" s="205">
        <f>SUM(K6:K15)</f>
        <v>505683.77</v>
      </c>
      <c r="L16" s="206">
        <f>ROUND(M16*10000/SUM(K6:K14),0)</f>
        <v>3331</v>
      </c>
      <c r="M16" s="206">
        <f>SUM(M6:M14)</f>
        <v>168432</v>
      </c>
      <c r="N16" s="207">
        <f>ROUND(SUMPRODUCT(M6:M14,N6:N14)/M16,3)</f>
        <v>0</v>
      </c>
      <c r="O16" s="206">
        <f>SUM(O6:O14)</f>
        <v>0</v>
      </c>
      <c r="P16" s="206">
        <f>SUM(P6:P14)</f>
        <v>168432</v>
      </c>
      <c r="Q16" s="208">
        <f>ROUND(SUMPRODUCT(Q6:Q13,K6:K13)/SUMPRODUCT((Q6:Q13&gt;0)*(K6:K13)),2)</f>
        <v>0.18</v>
      </c>
      <c r="R16" s="2311">
        <f>SUM(R6:R13)</f>
        <v>69347.500000000015</v>
      </c>
      <c r="S16" s="209">
        <f>SUM(S6:S13)</f>
        <v>37243.18</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0.83399999999999996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2340</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3</v>
      </c>
      <c r="C20" s="2364" t="s">
        <v>2339</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3</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2342</v>
      </c>
      <c r="B27" s="227">
        <v>105</v>
      </c>
      <c r="C27" s="2367" t="s">
        <v>2346</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2343</v>
      </c>
      <c r="B28" s="229">
        <v>105</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2341</v>
      </c>
      <c r="B29" s="232">
        <v>0</v>
      </c>
      <c r="C29" s="1552" t="s">
        <v>2344</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2901</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2902</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2903</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2904</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0.03</v>
      </c>
      <c r="C37" s="2365" t="s">
        <v>2905</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65" t="s">
        <v>2905</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2462</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2463</v>
      </c>
      <c r="B40" s="2505">
        <f ca="1">存贷款利率!E2</f>
        <v>4.7500000000000001E-2</v>
      </c>
      <c r="C40" s="2365" t="s">
        <v>2345</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2906</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2907</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2908</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100" t="s">
        <v>2909</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101" t="s">
        <v>2910</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1" t="s">
        <v>2911</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12</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1157</v>
      </c>
      <c r="C53" s="3102" t="s">
        <v>2912</v>
      </c>
      <c r="D53" s="3103" t="s">
        <v>2913</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5" t="s">
        <v>2914</v>
      </c>
      <c r="B54" s="186"/>
      <c r="C54" s="1994">
        <v>30</v>
      </c>
      <c r="D54" s="310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5" t="s">
        <v>2915</v>
      </c>
      <c r="B55" s="186">
        <v>12</v>
      </c>
      <c r="C55" s="1994">
        <v>24</v>
      </c>
      <c r="D55" s="310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5" t="s">
        <v>2916</v>
      </c>
      <c r="B56" s="186"/>
      <c r="C56" s="1994">
        <v>18</v>
      </c>
      <c r="D56" s="310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5" t="s">
        <v>2917</v>
      </c>
      <c r="B57" s="186"/>
      <c r="C57" s="1994">
        <v>12</v>
      </c>
      <c r="D57" s="310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5" t="s">
        <v>2918</v>
      </c>
      <c r="B58" s="186"/>
      <c r="C58" s="1994">
        <v>3</v>
      </c>
      <c r="D58" s="310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5" t="s">
        <v>2919</v>
      </c>
      <c r="B59" s="186"/>
      <c r="C59" s="1994">
        <v>1.5</v>
      </c>
      <c r="D59" s="310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5" t="s">
        <v>2920</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5" t="s">
        <v>2921</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5" t="s">
        <v>2922</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6" t="s">
        <v>2923</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572" t="s">
        <v>1665</v>
      </c>
      <c r="B1" s="3573"/>
      <c r="C1" s="3573"/>
      <c r="D1" s="3573"/>
      <c r="E1" s="3573"/>
      <c r="F1" s="3573"/>
      <c r="G1" s="3573"/>
      <c r="H1" s="2002"/>
      <c r="I1" s="2003"/>
      <c r="J1" s="2004"/>
      <c r="K1" s="2002"/>
      <c r="L1" s="2003"/>
      <c r="M1" s="2004"/>
      <c r="N1" s="2002"/>
      <c r="O1" s="2003"/>
      <c r="P1" s="2004"/>
      <c r="Q1" s="2005"/>
      <c r="R1" s="2006"/>
    </row>
    <row r="2" spans="1:18" ht="14.25" thickBot="1">
      <c r="A2" s="1221"/>
      <c r="B2" s="1222"/>
      <c r="C2" s="1223" t="s">
        <v>1666</v>
      </c>
      <c r="D2" s="1224"/>
      <c r="E2" s="1225"/>
      <c r="F2" s="1226"/>
      <c r="G2" s="1223" t="s">
        <v>1667</v>
      </c>
      <c r="H2" s="2008"/>
      <c r="I2" s="2008"/>
      <c r="J2" s="2008"/>
      <c r="K2" s="2008"/>
      <c r="L2" s="2008"/>
      <c r="M2" s="2008"/>
      <c r="N2" s="2008"/>
      <c r="O2" s="2008"/>
      <c r="P2" s="2008"/>
      <c r="Q2" s="2008"/>
      <c r="R2" s="2008"/>
    </row>
    <row r="3" spans="1:18" ht="54">
      <c r="A3" s="1227" t="s">
        <v>1668</v>
      </c>
      <c r="B3" s="1228" t="s">
        <v>1655</v>
      </c>
      <c r="C3" s="3107" t="s">
        <v>2930</v>
      </c>
      <c r="D3" s="2009"/>
      <c r="E3" s="1229" t="s">
        <v>1668</v>
      </c>
      <c r="F3" s="1230" t="s">
        <v>1656</v>
      </c>
      <c r="G3" s="3111" t="s">
        <v>2929</v>
      </c>
      <c r="H3" s="2008"/>
      <c r="I3" s="2008"/>
      <c r="J3" s="2008"/>
      <c r="K3" s="2008"/>
      <c r="L3" s="2008"/>
      <c r="M3" s="2008"/>
      <c r="N3" s="2008"/>
      <c r="O3" s="2008"/>
      <c r="P3" s="2008"/>
      <c r="Q3" s="2008"/>
      <c r="R3" s="2008"/>
    </row>
    <row r="4" spans="1:18" ht="41.25">
      <c r="A4" s="1229"/>
      <c r="B4" s="1231" t="s">
        <v>1669</v>
      </c>
      <c r="C4" s="3108" t="s">
        <v>2931</v>
      </c>
      <c r="D4" s="2009"/>
      <c r="E4" s="1232"/>
      <c r="F4" s="1233" t="s">
        <v>1670</v>
      </c>
      <c r="G4" s="3109" t="s">
        <v>2926</v>
      </c>
      <c r="H4" s="2008"/>
      <c r="I4" s="2008"/>
      <c r="J4" s="2008"/>
      <c r="K4" s="2008"/>
      <c r="L4" s="2008"/>
      <c r="M4" s="2008"/>
      <c r="N4" s="2008"/>
      <c r="O4" s="2008"/>
      <c r="P4" s="2008"/>
      <c r="Q4" s="2008"/>
      <c r="R4" s="2008"/>
    </row>
    <row r="5" spans="1:18" ht="41.25">
      <c r="A5" s="1229"/>
      <c r="B5" s="1231" t="s">
        <v>1671</v>
      </c>
      <c r="C5" s="3108" t="s">
        <v>2932</v>
      </c>
      <c r="D5" s="2009"/>
      <c r="E5" s="1232"/>
      <c r="F5" s="1231" t="s">
        <v>2553</v>
      </c>
      <c r="G5" s="3109" t="s">
        <v>2927</v>
      </c>
      <c r="H5" s="2008"/>
      <c r="I5" s="2008"/>
      <c r="J5" s="2008"/>
      <c r="K5" s="2008"/>
      <c r="L5" s="2008"/>
      <c r="M5" s="2008"/>
      <c r="N5" s="2008"/>
      <c r="O5" s="2008"/>
      <c r="P5" s="2008"/>
      <c r="Q5" s="2008"/>
      <c r="R5" s="2008"/>
    </row>
    <row r="6" spans="1:18" ht="54">
      <c r="A6" s="1229"/>
      <c r="B6" s="1231" t="s">
        <v>1657</v>
      </c>
      <c r="C6" s="3109" t="s">
        <v>2926</v>
      </c>
      <c r="D6" s="2009"/>
      <c r="E6" s="1232"/>
      <c r="F6" s="1231" t="s">
        <v>2554</v>
      </c>
      <c r="G6" s="3109" t="s">
        <v>2924</v>
      </c>
      <c r="H6" s="2008"/>
      <c r="I6" s="2008"/>
      <c r="J6" s="2008"/>
      <c r="K6" s="2008"/>
      <c r="L6" s="2008"/>
      <c r="M6" s="2008"/>
      <c r="N6" s="2008"/>
      <c r="O6" s="2008"/>
      <c r="P6" s="2008"/>
      <c r="Q6" s="2008"/>
      <c r="R6" s="2008"/>
    </row>
    <row r="7" spans="1:18" ht="41.25" thickBot="1">
      <c r="A7" s="1229"/>
      <c r="B7" s="1231" t="s">
        <v>2553</v>
      </c>
      <c r="C7" s="3109" t="s">
        <v>2927</v>
      </c>
      <c r="D7" s="2010"/>
      <c r="E7" s="1234"/>
      <c r="F7" s="1235" t="s">
        <v>1672</v>
      </c>
      <c r="G7" s="3112" t="s">
        <v>2928</v>
      </c>
      <c r="H7" s="2008"/>
      <c r="I7" s="2008"/>
      <c r="J7" s="2008"/>
      <c r="K7" s="2008"/>
      <c r="L7" s="2008"/>
      <c r="M7" s="2008"/>
      <c r="N7" s="2008"/>
      <c r="O7" s="2008"/>
      <c r="P7" s="2008"/>
      <c r="Q7" s="2008"/>
      <c r="R7" s="2008"/>
    </row>
    <row r="8" spans="1:18" ht="27">
      <c r="A8" s="1229"/>
      <c r="B8" s="1231" t="s">
        <v>2554</v>
      </c>
      <c r="C8" s="3109" t="s">
        <v>2924</v>
      </c>
      <c r="D8" s="2010"/>
      <c r="E8" s="2010"/>
      <c r="F8" s="1553"/>
      <c r="G8" s="1553"/>
      <c r="H8" s="2008"/>
      <c r="I8" s="2008"/>
      <c r="J8" s="2008"/>
      <c r="K8" s="2008"/>
      <c r="L8" s="2008"/>
      <c r="M8" s="2008"/>
      <c r="N8" s="2008"/>
      <c r="O8" s="2008"/>
      <c r="P8" s="2008"/>
      <c r="Q8" s="2008"/>
      <c r="R8" s="2008"/>
    </row>
    <row r="9" spans="1:18" ht="40.5">
      <c r="A9" s="1229"/>
      <c r="B9" s="1231" t="s">
        <v>1658</v>
      </c>
      <c r="C9" s="3108" t="s">
        <v>2925</v>
      </c>
      <c r="D9" s="2009"/>
      <c r="E9" s="2010"/>
      <c r="F9" s="1553"/>
      <c r="G9" s="1553"/>
      <c r="H9" s="2008"/>
      <c r="I9" s="2008"/>
      <c r="J9" s="2008"/>
      <c r="K9" s="2008"/>
      <c r="L9" s="2008"/>
      <c r="M9" s="2008"/>
      <c r="N9" s="2008"/>
      <c r="O9" s="2008"/>
      <c r="P9" s="2008"/>
      <c r="Q9" s="2008"/>
      <c r="R9" s="2008"/>
    </row>
    <row r="10" spans="1:18" s="2016" customFormat="1" ht="15" thickBot="1">
      <c r="A10" s="1236"/>
      <c r="B10" s="1237" t="s">
        <v>1673</v>
      </c>
      <c r="C10" s="3110"/>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4"/>
      <c r="E13" s="2602"/>
      <c r="F13" s="2602"/>
      <c r="G13" s="2602"/>
    </row>
    <row r="14" spans="1:18" ht="14.25" thickBot="1">
      <c r="A14" s="1238"/>
      <c r="B14" s="1239"/>
      <c r="C14" s="1240" t="s">
        <v>1666</v>
      </c>
      <c r="D14" s="2009"/>
      <c r="E14" s="1241"/>
      <c r="F14" s="1241"/>
      <c r="G14" s="1223" t="s">
        <v>1667</v>
      </c>
    </row>
    <row r="15" spans="1:18" ht="54">
      <c r="A15" s="2612" t="s">
        <v>1659</v>
      </c>
      <c r="B15" s="1242" t="s">
        <v>1655</v>
      </c>
      <c r="C15" s="1243" t="str">
        <f>C3</f>
        <v>估价对象周边居住用地比例、居住小区规模和社区发展完善程度，综合评价居住社区成熟度一般</v>
      </c>
      <c r="D15" s="2009"/>
      <c r="E15" s="2609" t="s">
        <v>1660</v>
      </c>
      <c r="F15" s="1242" t="s">
        <v>1675</v>
      </c>
      <c r="G15" s="1244" t="str">
        <f>G3</f>
        <v>估价对象位于XX开发区，园区建设成熟度XX，产业集聚程度XX</v>
      </c>
    </row>
    <row r="16" spans="1:18" ht="40.5">
      <c r="A16" s="2613"/>
      <c r="B16" s="1245" t="s">
        <v>1669</v>
      </c>
      <c r="C16" s="1246" t="str">
        <f>C4</f>
        <v>估价对象位于XX商圈，周边商业氛围成熟，人流量大，商业繁华度好</v>
      </c>
      <c r="D16" s="2009"/>
      <c r="E16" s="2610"/>
      <c r="F16" s="1247" t="s">
        <v>1670</v>
      </c>
      <c r="G16" s="1005" t="str">
        <f>G4</f>
        <v>估价对象周边道路状况、公共交通通达情况、停车便捷程度，综合评价交通便捷度较好</v>
      </c>
    </row>
    <row r="17" spans="1:7" ht="40.5">
      <c r="A17" s="2613"/>
      <c r="B17" s="1245" t="s">
        <v>1671</v>
      </c>
      <c r="C17" s="1246" t="str">
        <f>C5</f>
        <v>估价对象位于XX商圈，周边办公楼项目较多，入驻率高，办公集聚程度较好</v>
      </c>
      <c r="D17" s="2010"/>
      <c r="E17" s="2610"/>
      <c r="F17" s="1247" t="s">
        <v>1676</v>
      </c>
      <c r="G17" s="2819"/>
    </row>
    <row r="18" spans="1:7" ht="54">
      <c r="A18" s="2613"/>
      <c r="B18" s="1247" t="s">
        <v>1657</v>
      </c>
      <c r="C18" s="1005" t="str">
        <f>C6</f>
        <v>估价对象周边道路状况、公共交通通达情况、停车便捷程度，综合评价交通便捷度较好</v>
      </c>
      <c r="D18" s="2010"/>
      <c r="E18" s="2610"/>
      <c r="F18" s="1247" t="s">
        <v>1672</v>
      </c>
      <c r="G18" s="1005" t="str">
        <f>G7</f>
        <v>该园区内是否有污染型企业，绿化情况，卫生条件，整体环境状况判断</v>
      </c>
    </row>
    <row r="19" spans="1:7" ht="27">
      <c r="A19" s="2613"/>
      <c r="B19" s="1247" t="s">
        <v>1661</v>
      </c>
      <c r="C19" s="2819"/>
      <c r="D19" s="2009"/>
      <c r="E19" s="2610"/>
      <c r="F19" s="1231" t="s">
        <v>2553</v>
      </c>
      <c r="G19" s="1005" t="str">
        <f>G5</f>
        <v>估价对象所在区域公共配套设施齐备情况</v>
      </c>
    </row>
    <row r="20" spans="1:7" ht="40.5">
      <c r="A20" s="2613"/>
      <c r="B20" s="1247" t="s">
        <v>1662</v>
      </c>
      <c r="C20" s="1246" t="str">
        <f>C9</f>
        <v>区域自然环境：；人文环境；综合评价环境状况一般</v>
      </c>
      <c r="D20" s="2010"/>
      <c r="E20" s="2610"/>
      <c r="F20" s="1231" t="s">
        <v>2554</v>
      </c>
      <c r="G20" s="1005" t="str">
        <f>G6</f>
        <v>估价对象所在区域基础设施水平</v>
      </c>
    </row>
    <row r="21" spans="1:7" ht="27">
      <c r="A21" s="2613"/>
      <c r="B21" s="1231" t="s">
        <v>2553</v>
      </c>
      <c r="C21" s="1005" t="str">
        <f>C7</f>
        <v>估价对象所在区域公共配套设施齐备情况</v>
      </c>
      <c r="D21" s="2009"/>
      <c r="E21" s="2610"/>
      <c r="F21" s="1247" t="s">
        <v>1663</v>
      </c>
      <c r="G21" s="3113"/>
    </row>
    <row r="22" spans="1:7" ht="27">
      <c r="A22" s="2613"/>
      <c r="B22" s="1231" t="s">
        <v>2554</v>
      </c>
      <c r="C22" s="1005" t="str">
        <f>C8</f>
        <v>估价对象所在区域基础设施水平</v>
      </c>
      <c r="D22" s="2009"/>
      <c r="E22" s="2610"/>
      <c r="F22" s="1247" t="s">
        <v>1673</v>
      </c>
      <c r="G22" s="2819"/>
    </row>
    <row r="23" spans="1:7" ht="15" thickBot="1">
      <c r="A23" s="2613"/>
      <c r="B23" s="1247" t="s">
        <v>1663</v>
      </c>
      <c r="C23" s="3113"/>
      <c r="E23" s="2611"/>
      <c r="F23" s="1248" t="s">
        <v>1677</v>
      </c>
      <c r="G23" s="3114"/>
    </row>
    <row r="24" spans="1:7" ht="14.25" thickBot="1">
      <c r="A24" s="2614"/>
      <c r="B24" s="1248" t="s">
        <v>1664</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1" t="s">
        <v>2851</v>
      </c>
      <c r="B1" s="3071">
        <f>SUM(B14:B23)</f>
        <v>505683.77</v>
      </c>
      <c r="C1" s="3072"/>
      <c r="D1" s="3072"/>
      <c r="E1" s="3072"/>
      <c r="F1" s="3072"/>
    </row>
    <row r="2" spans="1:9" ht="16.5">
      <c r="A2" s="3071" t="s">
        <v>2852</v>
      </c>
      <c r="B2" s="3071">
        <f>SUM(C14:C23)</f>
        <v>69347.5</v>
      </c>
      <c r="C2" s="3072"/>
      <c r="D2" s="3072"/>
      <c r="E2" s="3072"/>
      <c r="F2" s="3072"/>
    </row>
    <row r="3" spans="1:9" ht="16.5">
      <c r="A3" s="3071" t="s">
        <v>2853</v>
      </c>
      <c r="B3" s="3073">
        <f>项目基本情况!D3</f>
        <v>43167</v>
      </c>
      <c r="C3" s="3072"/>
      <c r="D3" s="3072"/>
      <c r="E3" s="3072"/>
      <c r="F3" s="3072"/>
    </row>
    <row r="4" spans="1:9" ht="33">
      <c r="A4" s="3071" t="s">
        <v>2854</v>
      </c>
      <c r="B4" s="3071" t="s">
        <v>2855</v>
      </c>
      <c r="C4" s="3071" t="s">
        <v>2856</v>
      </c>
      <c r="D4" s="3071" t="s">
        <v>2857</v>
      </c>
      <c r="E4" s="3072"/>
      <c r="F4" s="3072"/>
    </row>
    <row r="5" spans="1:9" ht="16.5">
      <c r="A5" s="3071" t="s">
        <v>2858</v>
      </c>
      <c r="B5" s="3071">
        <f ca="1">SUM(D14:D23)</f>
        <v>156458</v>
      </c>
      <c r="C5" s="3071">
        <f ca="1">ROUND(B5*10000/$B$1,0)</f>
        <v>3094</v>
      </c>
      <c r="D5" s="3071">
        <f ca="1">ROUND(B5*10000/$B$2,0)</f>
        <v>22561</v>
      </c>
      <c r="E5" s="3072"/>
      <c r="F5" s="3072"/>
    </row>
    <row r="6" spans="1:9" ht="16.5">
      <c r="A6" s="3071" t="s">
        <v>2859</v>
      </c>
      <c r="B6" s="3071">
        <f>SUM(G14:G23)</f>
        <v>0</v>
      </c>
      <c r="C6" s="3071">
        <f t="shared" ref="C6:C8" si="0">ROUND(B6*10000/$B$1,0)</f>
        <v>0</v>
      </c>
      <c r="D6" s="3071">
        <f t="shared" ref="D6:D8" si="1">ROUND(B6*10000/$B$2,0)</f>
        <v>0</v>
      </c>
      <c r="E6" s="3072"/>
      <c r="F6" s="3072"/>
    </row>
    <row r="7" spans="1:9" ht="16.5">
      <c r="A7" s="3071" t="s">
        <v>2860</v>
      </c>
      <c r="B7" s="3071">
        <f>SUM(H14:H23)</f>
        <v>0</v>
      </c>
      <c r="C7" s="3071">
        <f t="shared" si="0"/>
        <v>0</v>
      </c>
      <c r="D7" s="3071">
        <f t="shared" si="1"/>
        <v>0</v>
      </c>
      <c r="E7" s="3072"/>
      <c r="F7" s="3072"/>
    </row>
    <row r="8" spans="1:9" ht="16.5">
      <c r="A8" s="3071" t="s">
        <v>2861</v>
      </c>
      <c r="B8" s="3071">
        <f>SUM(I14:I23)</f>
        <v>0</v>
      </c>
      <c r="C8" s="3071">
        <f t="shared" si="0"/>
        <v>0</v>
      </c>
      <c r="D8" s="3071">
        <f t="shared" si="1"/>
        <v>0</v>
      </c>
      <c r="E8" s="3072"/>
      <c r="F8" s="3072"/>
    </row>
    <row r="9" spans="1:9" ht="16.5">
      <c r="A9" s="3071" t="s">
        <v>2862</v>
      </c>
      <c r="B9" s="3074"/>
      <c r="C9" s="3072"/>
      <c r="D9" s="3072"/>
      <c r="E9" s="3072"/>
      <c r="F9" s="3072"/>
    </row>
    <row r="10" spans="1:9" ht="16.5">
      <c r="A10" s="3071" t="s">
        <v>2863</v>
      </c>
      <c r="B10" s="3074"/>
      <c r="C10" s="3072"/>
      <c r="D10" s="3072"/>
      <c r="E10" s="3072"/>
      <c r="F10" s="3072"/>
    </row>
    <row r="11" spans="1:9" ht="16.5">
      <c r="A11" s="3071" t="s">
        <v>2880</v>
      </c>
      <c r="B11" s="3074"/>
      <c r="C11" s="3072"/>
      <c r="D11" s="3072"/>
      <c r="E11" s="3072"/>
      <c r="F11" s="3072"/>
    </row>
    <row r="12" spans="1:9" ht="16.5">
      <c r="A12" s="3072"/>
      <c r="B12" s="3072"/>
      <c r="C12" s="3072"/>
      <c r="D12" s="3072"/>
      <c r="E12" s="3072"/>
      <c r="F12" s="3072"/>
    </row>
    <row r="13" spans="1:9" ht="33">
      <c r="A13" s="3077" t="s">
        <v>2879</v>
      </c>
      <c r="B13" s="3075" t="s">
        <v>2851</v>
      </c>
      <c r="C13" s="3075" t="s">
        <v>2852</v>
      </c>
      <c r="D13" s="3075" t="s">
        <v>2864</v>
      </c>
      <c r="E13" s="3071" t="s">
        <v>2878</v>
      </c>
      <c r="F13" s="3071" t="s">
        <v>2857</v>
      </c>
      <c r="G13" s="3075" t="s">
        <v>2865</v>
      </c>
      <c r="H13" s="3075" t="s">
        <v>2866</v>
      </c>
      <c r="I13" s="3075" t="s">
        <v>2867</v>
      </c>
    </row>
    <row r="14" spans="1:9" ht="16.5">
      <c r="A14" s="3078" t="s">
        <v>2877</v>
      </c>
      <c r="B14" s="3075">
        <f>结果表!L38</f>
        <v>505683.77</v>
      </c>
      <c r="C14" s="3075">
        <f>结果表!K38</f>
        <v>69347.5</v>
      </c>
      <c r="D14" s="3075">
        <f ca="1">结果表!C42</f>
        <v>156458</v>
      </c>
      <c r="E14" s="3075">
        <f ca="1">ROUND(D14*10000/B14,0)</f>
        <v>3094</v>
      </c>
      <c r="F14" s="3075">
        <f ca="1">ROUND(D14*10000/C14,0)</f>
        <v>22561</v>
      </c>
      <c r="G14" s="3075" t="str">
        <f>结果表!C44</f>
        <v>——</v>
      </c>
      <c r="H14" s="3075" t="str">
        <f>结果表!C45</f>
        <v>——</v>
      </c>
      <c r="I14" s="3075" t="str">
        <f>结果表!C46</f>
        <v>——</v>
      </c>
    </row>
    <row r="15" spans="1:9" ht="16.5">
      <c r="A15" s="3078" t="s">
        <v>2868</v>
      </c>
      <c r="B15" s="3079"/>
      <c r="C15" s="3079"/>
      <c r="D15" s="3079"/>
      <c r="E15" s="3075" t="e">
        <f t="shared" ref="E15:E23" si="2">ROUND(D15*10000/B15,0)</f>
        <v>#DIV/0!</v>
      </c>
      <c r="F15" s="3075" t="e">
        <f t="shared" ref="F15:F23" si="3">ROUND(D15*10000/C15,0)</f>
        <v>#DIV/0!</v>
      </c>
      <c r="G15" s="3076"/>
      <c r="H15" s="3076"/>
      <c r="I15" s="3079"/>
    </row>
    <row r="16" spans="1:9" ht="16.5">
      <c r="A16" s="3078" t="s">
        <v>2869</v>
      </c>
      <c r="B16" s="3079"/>
      <c r="C16" s="3079"/>
      <c r="D16" s="3079"/>
      <c r="E16" s="3075" t="e">
        <f t="shared" si="2"/>
        <v>#DIV/0!</v>
      </c>
      <c r="F16" s="3075" t="e">
        <f t="shared" si="3"/>
        <v>#DIV/0!</v>
      </c>
      <c r="G16" s="3076"/>
      <c r="H16" s="3076"/>
      <c r="I16" s="3079"/>
    </row>
    <row r="17" spans="1:9" ht="16.5">
      <c r="A17" s="3078" t="s">
        <v>2870</v>
      </c>
      <c r="B17" s="3079"/>
      <c r="C17" s="3079"/>
      <c r="D17" s="3079"/>
      <c r="E17" s="3075" t="e">
        <f t="shared" si="2"/>
        <v>#DIV/0!</v>
      </c>
      <c r="F17" s="3075" t="e">
        <f t="shared" si="3"/>
        <v>#DIV/0!</v>
      </c>
      <c r="G17" s="3076"/>
      <c r="H17" s="3076"/>
      <c r="I17" s="3079"/>
    </row>
    <row r="18" spans="1:9" ht="16.5">
      <c r="A18" s="3078" t="s">
        <v>2871</v>
      </c>
      <c r="B18" s="3079"/>
      <c r="C18" s="3079"/>
      <c r="D18" s="3079"/>
      <c r="E18" s="3075" t="e">
        <f t="shared" si="2"/>
        <v>#DIV/0!</v>
      </c>
      <c r="F18" s="3075" t="e">
        <f t="shared" si="3"/>
        <v>#DIV/0!</v>
      </c>
      <c r="G18" s="3079"/>
      <c r="H18" s="3079"/>
      <c r="I18" s="3079"/>
    </row>
    <row r="19" spans="1:9" ht="16.5">
      <c r="A19" s="3078" t="s">
        <v>2872</v>
      </c>
      <c r="B19" s="3079"/>
      <c r="C19" s="3079"/>
      <c r="D19" s="3079"/>
      <c r="E19" s="3075" t="e">
        <f t="shared" si="2"/>
        <v>#DIV/0!</v>
      </c>
      <c r="F19" s="3075" t="e">
        <f t="shared" si="3"/>
        <v>#DIV/0!</v>
      </c>
      <c r="G19" s="3079"/>
      <c r="H19" s="3079"/>
      <c r="I19" s="3079"/>
    </row>
    <row r="20" spans="1:9" ht="16.5">
      <c r="A20" s="3078" t="s">
        <v>2873</v>
      </c>
      <c r="B20" s="3079"/>
      <c r="C20" s="3079"/>
      <c r="D20" s="3079"/>
      <c r="E20" s="3075" t="e">
        <f t="shared" si="2"/>
        <v>#DIV/0!</v>
      </c>
      <c r="F20" s="3075" t="e">
        <f t="shared" si="3"/>
        <v>#DIV/0!</v>
      </c>
      <c r="G20" s="3079"/>
      <c r="H20" s="3079"/>
      <c r="I20" s="3079"/>
    </row>
    <row r="21" spans="1:9" ht="16.5">
      <c r="A21" s="3078" t="s">
        <v>2874</v>
      </c>
      <c r="B21" s="3079"/>
      <c r="C21" s="3079"/>
      <c r="D21" s="3079"/>
      <c r="E21" s="3075" t="e">
        <f t="shared" si="2"/>
        <v>#DIV/0!</v>
      </c>
      <c r="F21" s="3075" t="e">
        <f t="shared" si="3"/>
        <v>#DIV/0!</v>
      </c>
      <c r="G21" s="3079"/>
      <c r="H21" s="3079"/>
      <c r="I21" s="3079"/>
    </row>
    <row r="22" spans="1:9" ht="16.5">
      <c r="A22" s="3078" t="s">
        <v>2875</v>
      </c>
      <c r="B22" s="3079"/>
      <c r="C22" s="3079"/>
      <c r="D22" s="3079"/>
      <c r="E22" s="3075" t="e">
        <f t="shared" si="2"/>
        <v>#DIV/0!</v>
      </c>
      <c r="F22" s="3075" t="e">
        <f t="shared" si="3"/>
        <v>#DIV/0!</v>
      </c>
      <c r="G22" s="3079"/>
      <c r="H22" s="3079"/>
      <c r="I22" s="3079"/>
    </row>
    <row r="23" spans="1:9" ht="16.5">
      <c r="A23" s="3078" t="s">
        <v>2876</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L19" sqref="L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2059</v>
      </c>
      <c r="B1" s="1777"/>
      <c r="C1" s="1805" t="s">
        <v>2060</v>
      </c>
      <c r="D1" s="1806" t="s">
        <v>3231</v>
      </c>
      <c r="E1" s="1805" t="s">
        <v>2061</v>
      </c>
      <c r="F1" s="1807" t="s">
        <v>3230</v>
      </c>
      <c r="G1" s="311"/>
      <c r="H1" s="311"/>
      <c r="I1" s="311"/>
      <c r="J1" s="2029"/>
      <c r="K1" s="2029"/>
      <c r="L1" s="2029"/>
      <c r="M1" s="2029"/>
      <c r="N1" s="2029"/>
      <c r="O1" s="2029"/>
      <c r="P1" s="2029"/>
      <c r="Q1" s="2029"/>
      <c r="R1" s="2029"/>
      <c r="S1" s="2029"/>
      <c r="T1" s="2029"/>
      <c r="U1" s="2029"/>
      <c r="V1" s="2029"/>
    </row>
    <row r="2" spans="1:22" ht="21.75" customHeight="1" thickBot="1">
      <c r="A2" s="3610" t="str">
        <f>项目基本情况!K2</f>
        <v>出让国有建设用地使用权</v>
      </c>
      <c r="B2" s="3611"/>
      <c r="C2" s="3612"/>
      <c r="D2" s="3612"/>
      <c r="E2" s="3612"/>
      <c r="F2" s="3612"/>
      <c r="G2" s="3611"/>
      <c r="H2" s="3611"/>
      <c r="I2" s="3613"/>
      <c r="J2" s="2030"/>
      <c r="K2" s="2029"/>
      <c r="L2" s="2029"/>
      <c r="M2" s="2029"/>
      <c r="N2" s="2029"/>
      <c r="O2" s="2029"/>
      <c r="P2" s="2029"/>
      <c r="Q2" s="2029"/>
      <c r="R2" s="2029"/>
      <c r="S2" s="2029"/>
      <c r="T2" s="2029"/>
      <c r="U2" s="2029"/>
      <c r="V2" s="2029"/>
    </row>
    <row r="3" spans="1:22" ht="14.25">
      <c r="A3" s="3603" t="s">
        <v>298</v>
      </c>
      <c r="B3" s="3604"/>
      <c r="C3" s="3604"/>
      <c r="D3" s="3604"/>
      <c r="E3" s="3604"/>
      <c r="F3" s="3604"/>
      <c r="G3" s="3604"/>
      <c r="H3" s="3604"/>
      <c r="I3" s="3604"/>
      <c r="J3" s="2030"/>
      <c r="K3" s="2029"/>
      <c r="L3" s="2029"/>
      <c r="M3" s="2029"/>
      <c r="N3" s="2029"/>
      <c r="O3" s="2029"/>
      <c r="P3" s="2029"/>
      <c r="Q3" s="2029"/>
      <c r="R3" s="2029"/>
      <c r="S3" s="2029"/>
      <c r="T3" s="2029"/>
      <c r="U3" s="2029"/>
      <c r="V3" s="2029"/>
    </row>
    <row r="4" spans="1:22" ht="14.25">
      <c r="A4" s="258" t="s">
        <v>299</v>
      </c>
      <c r="B4" s="259" t="s">
        <v>300</v>
      </c>
      <c r="C4" s="260" t="s">
        <v>3315</v>
      </c>
      <c r="D4" s="260" t="s">
        <v>3229</v>
      </c>
      <c r="E4" s="3575" t="s">
        <v>301</v>
      </c>
      <c r="F4" s="3576"/>
      <c r="G4" s="3576"/>
      <c r="H4" s="3576"/>
      <c r="I4" s="3605"/>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574" t="s">
        <v>302</v>
      </c>
      <c r="B5" s="3600">
        <v>25</v>
      </c>
      <c r="C5" s="3598"/>
      <c r="D5" s="3602"/>
      <c r="E5" s="261" t="s">
        <v>303</v>
      </c>
      <c r="F5" s="262"/>
      <c r="G5" s="262"/>
      <c r="H5" s="262"/>
      <c r="I5" s="263"/>
      <c r="J5" s="2030"/>
      <c r="K5" s="2029"/>
      <c r="L5" s="2029"/>
      <c r="M5" s="2029"/>
      <c r="N5" s="2029"/>
      <c r="O5" s="2029"/>
      <c r="P5" s="2029"/>
      <c r="Q5" s="2029"/>
      <c r="R5" s="2029"/>
      <c r="S5" s="2029"/>
      <c r="T5" s="2029"/>
      <c r="U5" s="2029"/>
      <c r="V5" s="2029"/>
    </row>
    <row r="6" spans="1:22" ht="14.25">
      <c r="A6" s="3574"/>
      <c r="B6" s="3600"/>
      <c r="C6" s="3601"/>
      <c r="D6" s="3602"/>
      <c r="E6" s="261" t="s">
        <v>304</v>
      </c>
      <c r="F6" s="262"/>
      <c r="G6" s="262"/>
      <c r="H6" s="262"/>
      <c r="I6" s="263"/>
      <c r="J6" s="2030"/>
      <c r="K6" s="2029"/>
      <c r="L6" s="2029"/>
      <c r="M6" s="2029"/>
      <c r="N6" s="2029"/>
      <c r="O6" s="2029"/>
      <c r="P6" s="2029"/>
      <c r="Q6" s="2029"/>
      <c r="R6" s="2029"/>
      <c r="S6" s="2029"/>
      <c r="T6" s="2029"/>
      <c r="U6" s="2029"/>
      <c r="V6" s="2029"/>
    </row>
    <row r="7" spans="1:22" ht="14.25">
      <c r="A7" s="3574"/>
      <c r="B7" s="3600"/>
      <c r="C7" s="3599"/>
      <c r="D7" s="3602"/>
      <c r="E7" s="261" t="s">
        <v>305</v>
      </c>
      <c r="F7" s="262"/>
      <c r="G7" s="262"/>
      <c r="H7" s="262"/>
      <c r="I7" s="263"/>
      <c r="J7" s="2030"/>
      <c r="K7" s="2029"/>
      <c r="L7" s="2029"/>
      <c r="M7" s="2029"/>
      <c r="N7" s="2029"/>
      <c r="O7" s="2029"/>
      <c r="P7" s="2029"/>
      <c r="Q7" s="2029"/>
      <c r="R7" s="2029"/>
      <c r="S7" s="2029"/>
      <c r="T7" s="2029"/>
      <c r="U7" s="2029"/>
      <c r="V7" s="2029"/>
    </row>
    <row r="8" spans="1:22" ht="14.25">
      <c r="A8" s="3574" t="s">
        <v>306</v>
      </c>
      <c r="B8" s="3600">
        <v>15</v>
      </c>
      <c r="C8" s="3598"/>
      <c r="D8" s="3602"/>
      <c r="E8" s="261" t="s">
        <v>307</v>
      </c>
      <c r="F8" s="262"/>
      <c r="G8" s="262"/>
      <c r="H8" s="262"/>
      <c r="I8" s="263"/>
      <c r="J8" s="2030"/>
      <c r="K8" s="2029"/>
      <c r="L8" s="2029"/>
      <c r="M8" s="2029"/>
      <c r="N8" s="2029"/>
      <c r="O8" s="2029"/>
      <c r="P8" s="2029"/>
      <c r="Q8" s="2029"/>
      <c r="R8" s="2029"/>
      <c r="S8" s="2029"/>
      <c r="T8" s="2029"/>
      <c r="U8" s="2029"/>
      <c r="V8" s="2029"/>
    </row>
    <row r="9" spans="1:22" ht="14.25">
      <c r="A9" s="3574"/>
      <c r="B9" s="3600"/>
      <c r="C9" s="3599"/>
      <c r="D9" s="3602"/>
      <c r="E9" s="261" t="s">
        <v>308</v>
      </c>
      <c r="F9" s="262"/>
      <c r="G9" s="262"/>
      <c r="H9" s="262"/>
      <c r="I9" s="263"/>
      <c r="J9" s="2030"/>
      <c r="K9" s="2029"/>
      <c r="L9" s="2029"/>
      <c r="M9" s="2029"/>
      <c r="N9" s="2029"/>
      <c r="O9" s="2029"/>
      <c r="P9" s="2029"/>
      <c r="Q9" s="2029"/>
      <c r="R9" s="2029"/>
      <c r="S9" s="2029"/>
      <c r="T9" s="2029"/>
      <c r="U9" s="2029"/>
      <c r="V9" s="2029"/>
    </row>
    <row r="10" spans="1:22" ht="14.25">
      <c r="A10" s="3574" t="s">
        <v>309</v>
      </c>
      <c r="B10" s="3600">
        <v>15</v>
      </c>
      <c r="C10" s="3598"/>
      <c r="D10" s="3602"/>
      <c r="E10" s="261" t="s">
        <v>310</v>
      </c>
      <c r="F10" s="262"/>
      <c r="G10" s="262"/>
      <c r="H10" s="262"/>
      <c r="I10" s="263"/>
      <c r="J10" s="2030"/>
      <c r="K10" s="2029"/>
      <c r="L10" s="2029"/>
      <c r="M10" s="2029"/>
      <c r="N10" s="2029"/>
      <c r="O10" s="2029"/>
      <c r="P10" s="2029"/>
      <c r="Q10" s="2029"/>
      <c r="R10" s="2029"/>
      <c r="S10" s="2029"/>
      <c r="T10" s="2029"/>
      <c r="U10" s="2029"/>
      <c r="V10" s="2029"/>
    </row>
    <row r="11" spans="1:22" ht="14.25">
      <c r="A11" s="3574"/>
      <c r="B11" s="3600"/>
      <c r="C11" s="3599"/>
      <c r="D11" s="3602"/>
      <c r="E11" s="261" t="s">
        <v>311</v>
      </c>
      <c r="F11" s="262"/>
      <c r="G11" s="262"/>
      <c r="H11" s="262"/>
      <c r="I11" s="263"/>
      <c r="J11" s="2030"/>
      <c r="K11" s="2029"/>
      <c r="L11" s="2029"/>
      <c r="M11" s="2029"/>
      <c r="N11" s="2029"/>
      <c r="O11" s="2029"/>
      <c r="P11" s="2029"/>
      <c r="Q11" s="2029"/>
      <c r="R11" s="2029"/>
      <c r="S11" s="2029"/>
      <c r="T11" s="2029"/>
      <c r="U11" s="2029"/>
      <c r="V11" s="2029"/>
    </row>
    <row r="12" spans="1:22" ht="14.25">
      <c r="A12" s="3574" t="s">
        <v>312</v>
      </c>
      <c r="B12" s="3600">
        <v>15</v>
      </c>
      <c r="C12" s="3598"/>
      <c r="D12" s="3602"/>
      <c r="E12" s="261" t="s">
        <v>313</v>
      </c>
      <c r="F12" s="262"/>
      <c r="G12" s="262"/>
      <c r="H12" s="262"/>
      <c r="I12" s="263"/>
      <c r="J12" s="2030"/>
      <c r="K12" s="2029"/>
      <c r="L12" s="2029"/>
      <c r="M12" s="2029"/>
      <c r="N12" s="2029"/>
      <c r="O12" s="2029"/>
      <c r="P12" s="2029"/>
      <c r="Q12" s="2029"/>
      <c r="R12" s="2029"/>
      <c r="S12" s="2029"/>
      <c r="T12" s="2029"/>
      <c r="U12" s="2029"/>
      <c r="V12" s="2029"/>
    </row>
    <row r="13" spans="1:22" ht="14.25">
      <c r="A13" s="3574"/>
      <c r="B13" s="3600"/>
      <c r="C13" s="3599"/>
      <c r="D13" s="3602"/>
      <c r="E13" s="261" t="s">
        <v>314</v>
      </c>
      <c r="F13" s="262"/>
      <c r="G13" s="262"/>
      <c r="H13" s="262"/>
      <c r="I13" s="263"/>
      <c r="J13" s="2030"/>
      <c r="K13" s="2029"/>
      <c r="L13" s="2029"/>
      <c r="M13" s="2029"/>
      <c r="N13" s="2029"/>
      <c r="O13" s="2029"/>
      <c r="P13" s="2029"/>
      <c r="Q13" s="2029"/>
      <c r="R13" s="2029"/>
      <c r="S13" s="2029"/>
      <c r="T13" s="2029"/>
      <c r="U13" s="2029"/>
      <c r="V13" s="2029"/>
    </row>
    <row r="14" spans="1:22" ht="14.25">
      <c r="A14" s="3574" t="s">
        <v>315</v>
      </c>
      <c r="B14" s="3600">
        <v>30</v>
      </c>
      <c r="C14" s="3598">
        <v>6</v>
      </c>
      <c r="D14" s="3602">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574"/>
      <c r="B15" s="3600"/>
      <c r="C15" s="3601"/>
      <c r="D15" s="3602"/>
      <c r="E15" s="261" t="s">
        <v>317</v>
      </c>
      <c r="F15" s="262"/>
      <c r="G15" s="262"/>
      <c r="H15" s="262"/>
      <c r="I15" s="263"/>
      <c r="J15" s="2030"/>
      <c r="K15" s="2029"/>
      <c r="L15" s="2029"/>
      <c r="M15" s="2029"/>
      <c r="N15" s="2029"/>
      <c r="O15" s="2029"/>
      <c r="P15" s="2029"/>
      <c r="Q15" s="2029"/>
      <c r="R15" s="2029"/>
      <c r="S15" s="2029"/>
      <c r="T15" s="2029"/>
      <c r="U15" s="2029"/>
      <c r="V15" s="2029"/>
    </row>
    <row r="16" spans="1:22" ht="14.25">
      <c r="A16" s="3574"/>
      <c r="B16" s="3600"/>
      <c r="C16" s="3599"/>
      <c r="D16" s="3602"/>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88561</v>
      </c>
      <c r="D19" s="271">
        <f ca="1">SUMIF(INDIRECT("'"&amp;D4&amp;"'"&amp;"!A:A"),结果表!B19,INDIRECT("'"&amp;D4&amp;"'"&amp;"!B:B"))</f>
        <v>258303</v>
      </c>
      <c r="E19" s="268" t="s">
        <v>323</v>
      </c>
      <c r="F19" s="269" t="s">
        <v>322</v>
      </c>
      <c r="G19" s="272">
        <f ca="1">ROUND(C19*$C$18+D19*$D$18,0)</f>
        <v>156458</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1751</v>
      </c>
      <c r="D20" s="277">
        <f ca="1">SUMIF(INDIRECT("'"&amp;D4&amp;"'"&amp;"!A:A"),结果表!B20,INDIRECT("'"&amp;D4&amp;"'"&amp;"!B:B"))</f>
        <v>5108</v>
      </c>
      <c r="E20" s="274"/>
      <c r="F20" s="275" t="s">
        <v>325</v>
      </c>
      <c r="G20" s="278">
        <f ca="1">ROUND(C20*$C$18+D20*$D$18,0)</f>
        <v>3094</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12771</v>
      </c>
      <c r="D21" s="151">
        <f ca="1">SUMIF(INDIRECT("'"&amp;D4&amp;"'"&amp;"!A:A"),结果表!B21,INDIRECT("'"&amp;D4&amp;"'"&amp;"!B:B"))</f>
        <v>37248</v>
      </c>
      <c r="E21" s="274"/>
      <c r="F21" s="280" t="s">
        <v>327</v>
      </c>
      <c r="G21" s="282">
        <f ca="1">ROUND(C21*$C$18+D21*$D$18,0)</f>
        <v>22562</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1.9166676076376734</v>
      </c>
      <c r="E22" s="284"/>
      <c r="F22" s="285"/>
      <c r="G22" s="286">
        <f ca="1">ROUND(G19/('数据-汇总表'!D3/666.67),0)</f>
        <v>1504</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580"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581"/>
      <c r="B25" s="1321" t="s">
        <v>331</v>
      </c>
      <c r="C25" s="290">
        <f>IF(B30=0,0,C30)</f>
        <v>0</v>
      </c>
      <c r="D25" s="291"/>
      <c r="E25" s="311"/>
      <c r="F25" s="311"/>
      <c r="G25" s="311"/>
      <c r="H25" s="311"/>
      <c r="I25" s="311"/>
      <c r="J25" s="2029"/>
      <c r="K25" s="1255" t="str">
        <f ca="1">项目基本情况!B16&amp;"国有建设用地使用权价格："&amp;O38&amp;"万元"</f>
        <v>出让国有建设用地使用权价格：156458万元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大写金额：人民币壹拾伍亿陆仟肆佰伍拾捌万元整</v>
      </c>
      <c r="L26" s="1252"/>
      <c r="M26" s="1252"/>
      <c r="N26" s="1252"/>
      <c r="O26" s="1251"/>
      <c r="P26" s="2029"/>
      <c r="Q26" s="2029"/>
      <c r="R26" s="2029"/>
      <c r="S26" s="2029"/>
      <c r="T26" s="2029"/>
      <c r="U26" s="2029"/>
      <c r="V26" s="2029"/>
      <c r="W26" s="292"/>
      <c r="X26" s="292"/>
      <c r="Y26" s="292"/>
      <c r="Z26" s="292"/>
    </row>
    <row r="27" spans="1:26" ht="18">
      <c r="A27" s="293"/>
      <c r="B27" s="294"/>
      <c r="C27" s="294"/>
      <c r="D27" s="295">
        <f ca="1">G19*10000/'数据-汇总表'!F31</f>
        <v>3973.5590121564369</v>
      </c>
      <c r="E27" s="311"/>
      <c r="F27" s="311"/>
      <c r="G27" s="311"/>
      <c r="H27" s="311"/>
      <c r="I27" s="311"/>
      <c r="J27" s="2029"/>
      <c r="K27" s="1258" t="str">
        <f ca="1">"单位面积地价："&amp;M38&amp;"元/平方米"</f>
        <v>单位面积地价：22561元/平方米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楼面地价：3094元/平方米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62" t="s">
        <v>336</v>
      </c>
      <c r="B30" s="309"/>
      <c r="C30" s="309"/>
      <c r="D30" s="310"/>
      <c r="E30" s="3163" t="s">
        <v>2980</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抵押担保权已注销时的抵押价格：——万元</v>
      </c>
      <c r="L31" s="2489"/>
      <c r="M31" s="2489"/>
      <c r="N31" s="2489"/>
      <c r="O31" s="2490"/>
      <c r="P31" s="2029"/>
      <c r="V31" s="2029"/>
    </row>
    <row r="32" spans="1:26" ht="18.75" thickBot="1">
      <c r="A32" s="268" t="s">
        <v>337</v>
      </c>
      <c r="B32" s="1381" t="s">
        <v>1690</v>
      </c>
      <c r="C32" s="1382">
        <f ca="1">G19-C24</f>
        <v>156458</v>
      </c>
      <c r="D32" s="1383" t="s">
        <v>1691</v>
      </c>
      <c r="E32" s="311"/>
      <c r="F32" s="311"/>
      <c r="G32" s="311"/>
      <c r="H32" s="311"/>
      <c r="I32" s="311"/>
      <c r="J32" s="2029"/>
      <c r="K32" s="2488" t="e">
        <f>IF(K31="——","——","大写金额：人民币"&amp;NUMBERSTRING(INT(O40*10000),2)&amp;"元整")</f>
        <v>#VALUE!</v>
      </c>
      <c r="L32" s="2491"/>
      <c r="M32" s="2491"/>
      <c r="N32" s="2491"/>
      <c r="O32" s="2492"/>
      <c r="P32" s="2029"/>
      <c r="V32" s="2029"/>
    </row>
    <row r="33" spans="1:26" ht="18.75" thickBot="1">
      <c r="A33" s="298" t="s">
        <v>340</v>
      </c>
      <c r="B33" s="1384" t="s">
        <v>1692</v>
      </c>
      <c r="C33" s="264">
        <f ca="1">ROUND(C32*10000/'数据-汇总表'!E3,0)</f>
        <v>3094</v>
      </c>
      <c r="D33" s="1385" t="s">
        <v>1693</v>
      </c>
      <c r="E33" s="3580"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1694</v>
      </c>
      <c r="C34" s="264">
        <f ca="1">ROUND(C32*10000/'数据-汇总表'!D3,0)</f>
        <v>22561</v>
      </c>
      <c r="D34" s="1387" t="s">
        <v>1693</v>
      </c>
      <c r="E34" s="3621"/>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1504</v>
      </c>
      <c r="D35" s="1390" t="s">
        <v>1695</v>
      </c>
      <c r="E35" s="3622"/>
      <c r="F35" s="301" t="s">
        <v>342</v>
      </c>
      <c r="G35" s="982"/>
      <c r="H35" s="981" t="s">
        <v>343</v>
      </c>
      <c r="I35" s="311"/>
      <c r="J35" s="2029"/>
      <c r="K35" s="3595" t="s">
        <v>350</v>
      </c>
      <c r="L35" s="3595" t="s">
        <v>351</v>
      </c>
      <c r="M35" s="1264" t="s">
        <v>352</v>
      </c>
      <c r="N35" s="3595" t="s">
        <v>353</v>
      </c>
      <c r="O35" s="3595" t="s">
        <v>354</v>
      </c>
      <c r="P35" s="2029"/>
      <c r="V35" s="2029"/>
    </row>
    <row r="36" spans="1:26" ht="16.5" customHeight="1">
      <c r="A36" s="303" t="s">
        <v>344</v>
      </c>
      <c r="B36" s="304" t="s">
        <v>333</v>
      </c>
      <c r="C36" s="305" t="s">
        <v>345</v>
      </c>
      <c r="D36" s="305" t="s">
        <v>346</v>
      </c>
      <c r="E36" s="306" t="s">
        <v>347</v>
      </c>
      <c r="F36" s="311"/>
      <c r="G36" s="311"/>
      <c r="H36" s="311"/>
      <c r="I36" s="311"/>
      <c r="J36" s="2031"/>
      <c r="K36" s="3596"/>
      <c r="L36" s="3596"/>
      <c r="M36" s="1266" t="s">
        <v>355</v>
      </c>
      <c r="N36" s="3596"/>
      <c r="O36" s="3596"/>
      <c r="P36" s="2029"/>
      <c r="V36" s="2029"/>
    </row>
    <row r="37" spans="1:26" ht="16.5" customHeight="1" thickBot="1">
      <c r="A37" s="1260" t="s">
        <v>348</v>
      </c>
      <c r="B37" s="307"/>
      <c r="C37" s="294"/>
      <c r="D37" s="294"/>
      <c r="E37" s="295"/>
      <c r="F37" s="311"/>
      <c r="G37" s="311"/>
      <c r="H37" s="311"/>
      <c r="I37" s="311"/>
      <c r="J37" s="2031"/>
      <c r="K37" s="3597"/>
      <c r="L37" s="3597"/>
      <c r="M37" s="1267"/>
      <c r="N37" s="3597"/>
      <c r="O37" s="3597"/>
      <c r="P37" s="2029"/>
      <c r="V37" s="2029"/>
    </row>
    <row r="38" spans="1:26" ht="16.5" customHeight="1" thickBot="1">
      <c r="A38" s="1260" t="s">
        <v>349</v>
      </c>
      <c r="B38" s="307"/>
      <c r="C38" s="294"/>
      <c r="D38" s="294"/>
      <c r="E38" s="295"/>
      <c r="F38" s="311"/>
      <c r="G38" s="311"/>
      <c r="H38" s="311"/>
      <c r="I38" s="311"/>
      <c r="J38" s="2031"/>
      <c r="K38" s="1268">
        <f>'数据-汇总表'!D3</f>
        <v>69347.5</v>
      </c>
      <c r="L38" s="1269">
        <f>'数据-汇总表'!E3</f>
        <v>505683.77</v>
      </c>
      <c r="M38" s="1269">
        <f ca="1">C34</f>
        <v>22561</v>
      </c>
      <c r="N38" s="1269">
        <f ca="1">C33</f>
        <v>3094</v>
      </c>
      <c r="O38" s="1270">
        <f ca="1">C32</f>
        <v>156458</v>
      </c>
      <c r="P38" s="2029"/>
      <c r="V38" s="2029"/>
    </row>
    <row r="39" spans="1:26" ht="16.5" customHeight="1" thickBot="1">
      <c r="A39" s="1265"/>
      <c r="B39" s="308"/>
      <c r="C39" s="309"/>
      <c r="D39" s="309"/>
      <c r="E39" s="310"/>
      <c r="F39" s="311"/>
      <c r="G39" s="311"/>
      <c r="H39" s="311"/>
      <c r="I39" s="311"/>
      <c r="J39" s="2031"/>
      <c r="K39" s="3640" t="str">
        <f>MID(A44,3,LEN(A44)-2)</f>
        <v/>
      </c>
      <c r="L39" s="3641"/>
      <c r="M39" s="3641"/>
      <c r="N39" s="3642"/>
      <c r="O39" s="1392" t="str">
        <f>C44</f>
        <v>——</v>
      </c>
      <c r="P39" s="2029"/>
      <c r="V39" s="2029"/>
    </row>
    <row r="40" spans="1:26" ht="19.5" thickBot="1">
      <c r="A40" s="104" t="s">
        <v>874</v>
      </c>
      <c r="B40" s="311"/>
      <c r="C40" s="311"/>
      <c r="D40" s="311"/>
      <c r="E40" s="311"/>
      <c r="F40" s="311"/>
      <c r="G40" s="311"/>
      <c r="H40" s="311"/>
      <c r="I40" s="311"/>
      <c r="J40" s="2031"/>
      <c r="K40" s="3640" t="str">
        <f t="shared" ref="K40:K41" si="0">MID(A45,3,LEN(A45)-2)</f>
        <v/>
      </c>
      <c r="L40" s="3641"/>
      <c r="M40" s="3641"/>
      <c r="N40" s="3642"/>
      <c r="O40" s="1392" t="str">
        <f>C45</f>
        <v>——</v>
      </c>
      <c r="P40" s="2029"/>
      <c r="V40" s="2029"/>
    </row>
    <row r="41" spans="1:26" ht="16.5" thickBot="1">
      <c r="A41" s="312" t="s">
        <v>356</v>
      </c>
      <c r="B41" s="313"/>
      <c r="C41" s="314" t="s">
        <v>357</v>
      </c>
      <c r="D41" s="315" t="s">
        <v>358</v>
      </c>
      <c r="E41" s="315" t="s">
        <v>359</v>
      </c>
      <c r="F41" s="316" t="s">
        <v>360</v>
      </c>
      <c r="G41" s="311"/>
      <c r="H41" s="311"/>
      <c r="I41" s="311"/>
      <c r="J41" s="2031"/>
      <c r="K41" s="3640" t="str">
        <f t="shared" si="0"/>
        <v/>
      </c>
      <c r="L41" s="3641"/>
      <c r="M41" s="3641"/>
      <c r="N41" s="3642"/>
      <c r="O41" s="1392" t="str">
        <f>C46</f>
        <v>——</v>
      </c>
      <c r="P41" s="2029"/>
      <c r="V41" s="2029"/>
    </row>
    <row r="42" spans="1:26" ht="29.25">
      <c r="A42" s="3582" t="s">
        <v>2071</v>
      </c>
      <c r="B42" s="3583"/>
      <c r="C42" s="264">
        <f ca="1">C32</f>
        <v>156458</v>
      </c>
      <c r="D42" s="317">
        <f ca="1">C33</f>
        <v>3094</v>
      </c>
      <c r="E42" s="317">
        <f ca="1">C34</f>
        <v>22561</v>
      </c>
      <c r="F42" s="318">
        <f ca="1">C35</f>
        <v>1504</v>
      </c>
      <c r="G42" s="311"/>
      <c r="H42" s="311"/>
      <c r="I42" s="319"/>
      <c r="J42" s="2031"/>
      <c r="K42" s="1271" t="s">
        <v>361</v>
      </c>
      <c r="L42" s="2048" t="s">
        <v>362</v>
      </c>
      <c r="M42" s="1272" t="s">
        <v>363</v>
      </c>
      <c r="N42" s="2049" t="s">
        <v>364</v>
      </c>
      <c r="O42" s="2050" t="s">
        <v>365</v>
      </c>
      <c r="P42" s="2029"/>
      <c r="V42" s="2029"/>
    </row>
    <row r="43" spans="1:26" ht="18">
      <c r="A43" s="3593" t="s">
        <v>2737</v>
      </c>
      <c r="B43" s="3594"/>
      <c r="C43" s="264">
        <f>IF(H33="正常操作",G33+G34+G35,G34+G35)</f>
        <v>0</v>
      </c>
      <c r="D43" s="317" t="s">
        <v>43</v>
      </c>
      <c r="E43" s="317" t="s">
        <v>44</v>
      </c>
      <c r="F43" s="318" t="s">
        <v>44</v>
      </c>
      <c r="G43" s="2892" t="s">
        <v>953</v>
      </c>
      <c r="H43" s="311"/>
      <c r="I43" s="319"/>
      <c r="J43" s="2031"/>
      <c r="K43" s="1273" t="str">
        <f>C4</f>
        <v>比较法-住宅、综合</v>
      </c>
      <c r="L43" s="1274">
        <f ca="1">IF(L42="估价结果/万元",C19,C20)</f>
        <v>88561</v>
      </c>
      <c r="M43" s="1275">
        <f>C18</f>
        <v>0.6</v>
      </c>
      <c r="N43" s="1276">
        <f ca="1">IF(N42="测算结果/万元",G19,G20)</f>
        <v>156458</v>
      </c>
      <c r="O43" s="1277">
        <f ca="1">IF(O42="最终结果/万元",C32,C33)</f>
        <v>156458</v>
      </c>
      <c r="P43" s="2029"/>
      <c r="V43" s="2029"/>
    </row>
    <row r="44" spans="1:26" ht="18.75" thickBot="1">
      <c r="A44" s="3582" t="str">
        <f>IF(OR(项目基本情况!E8="抵押价格",项目基本情况!E8="已注销及未注销"),"3.抵押价格","——")</f>
        <v>——</v>
      </c>
      <c r="B44" s="3583"/>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258303</v>
      </c>
      <c r="M44" s="1280">
        <f>D18</f>
        <v>0.4</v>
      </c>
      <c r="N44" s="1281"/>
      <c r="O44" s="1282"/>
      <c r="P44" s="2029"/>
      <c r="V44" s="2029"/>
    </row>
    <row r="45" spans="1:26" ht="15">
      <c r="A45" s="3588" t="str">
        <f>IF(项目基本情况!E8="已注销及未注销","4.抵押担保权已注销时的抵押价格",IF(项目基本情况!E8="已注销","3.抵押担保权已注销时的抵押价格","——"))</f>
        <v>——</v>
      </c>
      <c r="B45" s="358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584" t="str">
        <f>IF(项目基本情况!E9="抵押净值",IF(A45="——","4.抵押净值","5.抵押净值"),"——")</f>
        <v>——</v>
      </c>
      <c r="B46" s="3585"/>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629" t="s">
        <v>374</v>
      </c>
      <c r="B63" s="3630"/>
      <c r="C63" s="3631"/>
      <c r="D63" s="341">
        <f ca="1">ROUND(C42*F63,0)</f>
        <v>93875</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590" t="s">
        <v>378</v>
      </c>
      <c r="B64" s="3591"/>
      <c r="C64" s="3591"/>
      <c r="D64" s="3591"/>
      <c r="E64" s="3591"/>
      <c r="F64" s="3591"/>
      <c r="G64" s="3592"/>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586" t="s">
        <v>386</v>
      </c>
      <c r="B66" s="3587"/>
      <c r="C66" s="3587"/>
      <c r="D66" s="261">
        <f ca="1">IF(H66="情况1",0,IF(H66="情况2",D70,IF(H66="情况3",D71,IF(H66="情况4",D72))))</f>
        <v>5007</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644" t="s">
        <v>385</v>
      </c>
      <c r="M66" s="3645"/>
      <c r="N66" s="2483"/>
      <c r="O66" s="2484"/>
      <c r="P66" s="2485"/>
      <c r="Q66" s="2029"/>
      <c r="R66" s="2029"/>
      <c r="S66" s="2029"/>
      <c r="T66" s="2029"/>
      <c r="U66" s="2029"/>
      <c r="V66" s="2029"/>
    </row>
    <row r="67" spans="1:22" ht="25.5" customHeight="1">
      <c r="A67" s="352" t="s">
        <v>390</v>
      </c>
      <c r="B67" s="3577" t="s">
        <v>391</v>
      </c>
      <c r="C67" s="3577"/>
      <c r="D67" s="353">
        <v>0</v>
      </c>
      <c r="E67" s="41" t="s">
        <v>392</v>
      </c>
      <c r="F67" s="62" t="s">
        <v>21</v>
      </c>
      <c r="G67" s="3632"/>
      <c r="H67" s="311"/>
      <c r="I67" s="1292"/>
      <c r="J67" s="2036"/>
      <c r="K67" s="1977">
        <v>2</v>
      </c>
      <c r="L67" s="3643" t="s">
        <v>389</v>
      </c>
      <c r="M67" s="3643"/>
      <c r="N67" s="1325">
        <f>'数据-取费表'!B2</f>
        <v>43167</v>
      </c>
      <c r="O67" s="1325"/>
      <c r="P67" s="1325"/>
      <c r="Q67" s="2029"/>
      <c r="R67" s="2029"/>
      <c r="S67" s="2029"/>
      <c r="T67" s="2029"/>
      <c r="U67" s="2029"/>
      <c r="V67" s="2029"/>
    </row>
    <row r="68" spans="1:22" ht="25.5" customHeight="1">
      <c r="A68" s="354"/>
      <c r="B68" s="3577" t="s">
        <v>394</v>
      </c>
      <c r="C68" s="3577"/>
      <c r="D68" s="355"/>
      <c r="E68" s="77"/>
      <c r="F68" s="356"/>
      <c r="G68" s="3633"/>
      <c r="H68" s="311"/>
      <c r="I68" s="1292"/>
      <c r="J68" s="2036"/>
      <c r="K68" s="1977">
        <v>3</v>
      </c>
      <c r="L68" s="3643" t="s">
        <v>393</v>
      </c>
      <c r="M68" s="3643"/>
      <c r="N68" s="1293">
        <f ca="1">C42</f>
        <v>156458</v>
      </c>
      <c r="O68" s="1293"/>
      <c r="P68" s="1293"/>
      <c r="Q68" s="2029"/>
      <c r="R68" s="2029"/>
      <c r="S68" s="2029"/>
      <c r="T68" s="2029"/>
      <c r="U68" s="2029"/>
      <c r="V68" s="2029"/>
    </row>
    <row r="69" spans="1:22" ht="12" customHeight="1">
      <c r="A69" s="357"/>
      <c r="B69" s="3577" t="s">
        <v>395</v>
      </c>
      <c r="C69" s="3577"/>
      <c r="D69" s="358"/>
      <c r="E69" s="73"/>
      <c r="F69" s="356"/>
      <c r="G69" s="3634"/>
      <c r="H69" s="311"/>
      <c r="I69" s="1292"/>
      <c r="J69" s="2036"/>
      <c r="K69" s="1294">
        <v>4</v>
      </c>
      <c r="L69" s="3648" t="s">
        <v>2890</v>
      </c>
      <c r="M69" s="3649"/>
      <c r="N69" s="1295" t="str">
        <f>C44</f>
        <v>——</v>
      </c>
      <c r="O69" s="1295"/>
      <c r="P69" s="1295"/>
      <c r="Q69" s="2029"/>
      <c r="R69" s="2029"/>
      <c r="S69" s="2029"/>
      <c r="T69" s="2029"/>
      <c r="U69" s="2029"/>
      <c r="V69" s="2029"/>
    </row>
    <row r="70" spans="1:22" ht="24" customHeight="1">
      <c r="A70" s="359" t="s">
        <v>396</v>
      </c>
      <c r="B70" s="3577" t="s">
        <v>397</v>
      </c>
      <c r="C70" s="3577"/>
      <c r="D70" s="358">
        <f ca="1">ROUND(D63*'数据-取费表'!B41/(1+'数据-取费表'!C42),0)</f>
        <v>5007</v>
      </c>
      <c r="E70" s="17" t="s">
        <v>398</v>
      </c>
      <c r="F70" s="360">
        <f>'数据-取费表'!B41</f>
        <v>5.6000000000000001E-2</v>
      </c>
      <c r="G70" s="361"/>
      <c r="H70" s="311"/>
      <c r="I70" s="1292"/>
      <c r="J70" s="2036"/>
      <c r="K70" s="3088"/>
      <c r="L70" s="3089"/>
      <c r="M70" s="3089"/>
      <c r="N70" s="3090" t="s">
        <v>2895</v>
      </c>
      <c r="O70" s="3089"/>
      <c r="P70" s="3091"/>
      <c r="Q70" s="2029"/>
      <c r="R70" s="2029"/>
      <c r="S70" s="2029"/>
      <c r="T70" s="2029"/>
      <c r="U70" s="2029"/>
      <c r="V70" s="2029"/>
    </row>
    <row r="71" spans="1:22" ht="12" customHeight="1">
      <c r="A71" s="359" t="s">
        <v>404</v>
      </c>
      <c r="B71" s="3578" t="s">
        <v>405</v>
      </c>
      <c r="C71" s="3579"/>
      <c r="D71" s="358">
        <f ca="1">ROUND(D63*'数据-取费表'!B41/(1+'数据-取费表'!C42),0)</f>
        <v>5007</v>
      </c>
      <c r="E71" s="17" t="s">
        <v>398</v>
      </c>
      <c r="F71" s="360">
        <f>'数据-取费表'!B41</f>
        <v>5.6000000000000001E-2</v>
      </c>
      <c r="G71" s="361"/>
      <c r="H71" s="311"/>
      <c r="I71" s="1292"/>
      <c r="J71" s="2036"/>
      <c r="K71" s="3087" t="s">
        <v>399</v>
      </c>
      <c r="L71" s="3650" t="s">
        <v>400</v>
      </c>
      <c r="M71" s="3650"/>
      <c r="N71" s="3087" t="s">
        <v>401</v>
      </c>
      <c r="O71" s="3087" t="s">
        <v>402</v>
      </c>
      <c r="P71" s="3087" t="s">
        <v>403</v>
      </c>
      <c r="Q71" s="2029"/>
      <c r="R71" s="2029"/>
      <c r="S71" s="2029"/>
      <c r="T71" s="2029"/>
      <c r="U71" s="2029"/>
      <c r="V71" s="2029"/>
    </row>
    <row r="72" spans="1:22" ht="12" customHeight="1">
      <c r="A72" s="359" t="s">
        <v>407</v>
      </c>
      <c r="B72" s="3578" t="s">
        <v>408</v>
      </c>
      <c r="C72" s="3579"/>
      <c r="D72" s="358">
        <f ca="1">C86</f>
        <v>4895</v>
      </c>
      <c r="E72" s="73" t="s">
        <v>409</v>
      </c>
      <c r="F72" s="360">
        <f>'数据-取费表'!B41</f>
        <v>5.6000000000000001E-2</v>
      </c>
      <c r="G72" s="361"/>
      <c r="H72" s="1298"/>
      <c r="I72" s="1292"/>
      <c r="J72" s="2036"/>
      <c r="K72" s="1977">
        <v>1</v>
      </c>
      <c r="L72" s="3625" t="s">
        <v>406</v>
      </c>
      <c r="M72" s="3625"/>
      <c r="N72" s="1296">
        <f ca="1">D66</f>
        <v>5007</v>
      </c>
      <c r="O72" s="1860" t="str">
        <f>E66</f>
        <v>销售额×税（费）率</v>
      </c>
      <c r="P72" s="1297">
        <f>F66</f>
        <v>5.6000000000000001E-2</v>
      </c>
      <c r="Q72" s="2029"/>
      <c r="R72" s="2029"/>
      <c r="S72" s="2029"/>
      <c r="T72" s="2029"/>
      <c r="U72" s="2029"/>
      <c r="V72" s="2029"/>
    </row>
    <row r="73" spans="1:22" ht="24" customHeight="1">
      <c r="A73" s="3619" t="s">
        <v>411</v>
      </c>
      <c r="B73" s="3587"/>
      <c r="C73" s="3587"/>
      <c r="D73" s="362">
        <f>IF(H73="个人住宅",0,ROUND(D63*I73,0))</f>
        <v>0</v>
      </c>
      <c r="E73" s="17" t="s">
        <v>412</v>
      </c>
      <c r="F73" s="360" t="str">
        <f>IF(H73="正常",I73,"免征")</f>
        <v>免征</v>
      </c>
      <c r="G73" s="361"/>
      <c r="H73" s="191" t="s">
        <v>2461</v>
      </c>
      <c r="I73" s="360">
        <f>'数据-取费表'!B49</f>
        <v>5.0000000000000001E-4</v>
      </c>
      <c r="J73" s="2036"/>
      <c r="K73" s="1977">
        <v>2</v>
      </c>
      <c r="L73" s="3625" t="s">
        <v>410</v>
      </c>
      <c r="M73" s="3625"/>
      <c r="N73" s="1296">
        <f t="shared" ref="N73:P74" si="1">D73</f>
        <v>0</v>
      </c>
      <c r="O73" s="1860" t="str">
        <f t="shared" si="1"/>
        <v>销售额×税（费）率</v>
      </c>
      <c r="P73" s="1297" t="str">
        <f t="shared" si="1"/>
        <v>免征</v>
      </c>
      <c r="Q73" s="2029"/>
      <c r="R73" s="2029"/>
      <c r="S73" s="2029"/>
      <c r="T73" s="2029"/>
      <c r="U73" s="2029"/>
      <c r="V73" s="2029"/>
    </row>
    <row r="74" spans="1:22" ht="24.75">
      <c r="A74" s="3619" t="s">
        <v>415</v>
      </c>
      <c r="B74" s="3587"/>
      <c r="C74" s="3587"/>
      <c r="D74" s="362">
        <f ca="1">IF(H74="个人住宅",D75,D76)</f>
        <v>52478</v>
      </c>
      <c r="E74" s="17" t="s">
        <v>416</v>
      </c>
      <c r="F74" s="360" t="str">
        <f>IF(H74="正常",F76,"免征")</f>
        <v>——</v>
      </c>
      <c r="G74" s="983" t="s">
        <v>417</v>
      </c>
      <c r="H74" s="363" t="s">
        <v>413</v>
      </c>
      <c r="I74" s="42"/>
      <c r="J74" s="2036"/>
      <c r="K74" s="1977">
        <v>3</v>
      </c>
      <c r="L74" s="3625" t="s">
        <v>414</v>
      </c>
      <c r="M74" s="3625"/>
      <c r="N74" s="1296">
        <f t="shared" ca="1" si="1"/>
        <v>52478</v>
      </c>
      <c r="O74" s="1860" t="str">
        <f t="shared" si="1"/>
        <v>增值额×税（费）率</v>
      </c>
      <c r="P74" s="1299" t="str">
        <f t="shared" si="1"/>
        <v>——</v>
      </c>
      <c r="Q74" s="2029"/>
      <c r="R74" s="2029"/>
      <c r="S74" s="2029"/>
      <c r="T74" s="2029"/>
      <c r="U74" s="2029"/>
      <c r="V74" s="2029"/>
    </row>
    <row r="75" spans="1:22" ht="24">
      <c r="A75" s="359" t="s">
        <v>418</v>
      </c>
      <c r="B75" s="3575" t="s">
        <v>419</v>
      </c>
      <c r="C75" s="3605"/>
      <c r="D75" s="364">
        <v>0</v>
      </c>
      <c r="E75" s="41" t="s">
        <v>420</v>
      </c>
      <c r="F75" s="365"/>
      <c r="G75" s="361"/>
      <c r="H75" s="42"/>
      <c r="I75" s="42"/>
      <c r="J75" s="2036"/>
      <c r="K75" s="3080">
        <f>IF(H77="非个人房产","",4)</f>
        <v>4</v>
      </c>
      <c r="L75" s="3625" t="str">
        <f>IF(H77="非个人房产","——","个人所得税")</f>
        <v>个人所得税</v>
      </c>
      <c r="M75" s="3625"/>
      <c r="N75" s="1300">
        <f ca="1">D77</f>
        <v>939</v>
      </c>
      <c r="O75" s="1873" t="str">
        <f>E77</f>
        <v>销售额×税（费）率</v>
      </c>
      <c r="P75" s="1301">
        <f>F77</f>
        <v>0.01</v>
      </c>
      <c r="Q75" s="2029"/>
      <c r="R75" s="2029"/>
      <c r="S75" s="2029"/>
      <c r="T75" s="2029"/>
      <c r="U75" s="2029"/>
      <c r="V75" s="2029"/>
    </row>
    <row r="76" spans="1:22" ht="24.75">
      <c r="A76" s="359" t="s">
        <v>396</v>
      </c>
      <c r="B76" s="3575" t="s">
        <v>422</v>
      </c>
      <c r="C76" s="3576"/>
      <c r="D76" s="362">
        <f ca="1">IF(H76="转让取得",C99,C115)</f>
        <v>52478</v>
      </c>
      <c r="E76" s="17" t="s">
        <v>423</v>
      </c>
      <c r="F76" s="53" t="s">
        <v>21</v>
      </c>
      <c r="G76" s="361"/>
      <c r="H76" s="363" t="s">
        <v>424</v>
      </c>
      <c r="I76" s="42"/>
      <c r="J76" s="2036"/>
      <c r="K76" s="3080" t="str">
        <f>IF(项目基本情况!K6="上海银行",IF(K75="",4,K75+1),"")</f>
        <v/>
      </c>
      <c r="L76" s="3636" t="str">
        <f>IF(项目基本情况!K6="上海银行","其他处置费用","")</f>
        <v/>
      </c>
      <c r="M76" s="3637"/>
      <c r="N76" s="1296" t="str">
        <f>IF(项目基本情况!K6="上海银行",N89,"")</f>
        <v/>
      </c>
      <c r="O76" s="3638" t="str">
        <f>IF(项目基本情况!K6="上海银行","包含处置中涉及的律师、诉讼、拍卖、评估等费用","")</f>
        <v/>
      </c>
      <c r="P76" s="3639"/>
      <c r="Q76" s="2029"/>
      <c r="R76" s="2029"/>
      <c r="S76" s="2029"/>
      <c r="T76" s="2029"/>
      <c r="U76" s="2029"/>
      <c r="V76" s="2029"/>
    </row>
    <row r="77" spans="1:22" ht="26.25" thickBot="1">
      <c r="A77" s="3627" t="s">
        <v>426</v>
      </c>
      <c r="B77" s="3628"/>
      <c r="C77" s="3628"/>
      <c r="D77" s="366">
        <f ca="1">IF(H77="非个人房产","——",IF(H77="个人住宅",0,ROUND(D63*I77,0)))</f>
        <v>939</v>
      </c>
      <c r="E77" s="367" t="str">
        <f>IF(H77="非个人房产","——","销售额×税（费）率")</f>
        <v>销售额×税（费）率</v>
      </c>
      <c r="F77" s="368">
        <f>IF(H77="非个人房产","——",IF(H77="个人住宅","免征",I77))</f>
        <v>0.01</v>
      </c>
      <c r="G77" s="984" t="s">
        <v>417</v>
      </c>
      <c r="H77" s="363" t="s">
        <v>2891</v>
      </c>
      <c r="I77" s="369">
        <v>0.01</v>
      </c>
      <c r="J77" s="2036"/>
      <c r="K77" s="3626">
        <f>IF(AND(K75="",K76=""),4,IF(项目基本情况!K6="上海银行",K76+1,K75+1))</f>
        <v>5</v>
      </c>
      <c r="L77" s="3625" t="s">
        <v>2892</v>
      </c>
      <c r="M77" s="3086" t="s">
        <v>421</v>
      </c>
      <c r="N77" s="1302"/>
      <c r="O77" s="1303">
        <f ca="1">SUMIF(N72:N76,"&lt;9e307")</f>
        <v>58424</v>
      </c>
      <c r="P77" s="1304"/>
      <c r="Q77" s="3084" t="e">
        <f ca="1">O77/N69</f>
        <v>#VALUE!</v>
      </c>
      <c r="R77" s="2029"/>
      <c r="S77" s="2029"/>
      <c r="T77" s="2029"/>
      <c r="U77" s="2029"/>
      <c r="V77" s="2029"/>
    </row>
    <row r="78" spans="1:22" ht="12" customHeight="1">
      <c r="A78" s="1305"/>
      <c r="B78" s="311"/>
      <c r="C78" s="311"/>
      <c r="D78" s="311"/>
      <c r="E78" s="42"/>
      <c r="F78" s="42"/>
      <c r="G78" s="42"/>
      <c r="H78" s="1003"/>
      <c r="I78" s="311"/>
      <c r="J78" s="2036"/>
      <c r="K78" s="3626"/>
      <c r="L78" s="3625"/>
      <c r="M78" s="3086" t="s">
        <v>425</v>
      </c>
      <c r="N78" s="1302"/>
      <c r="O78" s="1303" t="str">
        <f ca="1">NUMBERSTRING(INT(O77*10000),2)&amp;"元整"</f>
        <v>伍亿捌仟肆佰贰拾肆万元整</v>
      </c>
      <c r="P78" s="1304"/>
      <c r="Q78" s="2029"/>
      <c r="R78" s="2029"/>
      <c r="S78" s="2029"/>
      <c r="T78" s="2029"/>
      <c r="U78" s="2029"/>
      <c r="V78" s="2029"/>
    </row>
    <row r="79" spans="1:22" ht="13.5" thickBot="1">
      <c r="A79" s="3620" t="s">
        <v>427</v>
      </c>
      <c r="B79" s="3620"/>
      <c r="C79" s="3620"/>
      <c r="D79" s="3620"/>
      <c r="E79" s="3620"/>
      <c r="F79" s="42"/>
      <c r="G79" s="42"/>
      <c r="H79" s="1003"/>
      <c r="I79" s="311"/>
      <c r="J79" s="2036"/>
      <c r="K79" s="3646">
        <f>K77+1</f>
        <v>6</v>
      </c>
      <c r="L79" s="3625" t="s">
        <v>2893</v>
      </c>
      <c r="M79" s="3086" t="s">
        <v>421</v>
      </c>
      <c r="N79" s="1302"/>
      <c r="O79" s="1303" t="e">
        <f ca="1">N69-O77</f>
        <v>#VALUE!</v>
      </c>
      <c r="P79" s="1304"/>
      <c r="Q79" s="2029"/>
      <c r="R79" s="2029"/>
      <c r="S79" s="2029"/>
      <c r="T79" s="2029"/>
      <c r="U79" s="2029"/>
      <c r="V79" s="2029"/>
    </row>
    <row r="80" spans="1:22" ht="12.75">
      <c r="A80" s="3615" t="s">
        <v>428</v>
      </c>
      <c r="B80" s="3616"/>
      <c r="C80" s="994"/>
      <c r="D80" s="994" t="s">
        <v>429</v>
      </c>
      <c r="E80" s="370" t="s">
        <v>430</v>
      </c>
      <c r="F80" s="42"/>
      <c r="G80" s="42"/>
      <c r="H80" s="1003"/>
      <c r="I80" s="311"/>
      <c r="J80" s="2029"/>
      <c r="K80" s="3647"/>
      <c r="L80" s="3625"/>
      <c r="M80" s="3086" t="s">
        <v>425</v>
      </c>
      <c r="N80" s="1302"/>
      <c r="O80" s="1303" t="e">
        <f ca="1">NUMBERSTRING(INT(O79*10000),2)&amp;"元整"</f>
        <v>#VALUE!</v>
      </c>
      <c r="P80" s="1304"/>
      <c r="Q80" s="2029"/>
      <c r="R80" s="2029"/>
      <c r="S80" s="2029"/>
      <c r="T80" s="2029"/>
      <c r="U80" s="2029"/>
      <c r="V80" s="2029"/>
    </row>
    <row r="81" spans="1:26" ht="13.5" thickBot="1">
      <c r="A81" s="381" t="s">
        <v>1825</v>
      </c>
      <c r="B81" s="371" t="s">
        <v>431</v>
      </c>
      <c r="C81" s="372">
        <f ca="1">ROUND((C82+C83)/(1+'数据-取费表'!C42),0)</f>
        <v>89405</v>
      </c>
      <c r="D81" s="373"/>
      <c r="E81" s="374"/>
      <c r="F81" s="42"/>
      <c r="G81" s="42"/>
      <c r="H81" s="1003"/>
      <c r="I81" s="311"/>
      <c r="J81" s="2029"/>
      <c r="K81" s="3080">
        <f>K79+1</f>
        <v>7</v>
      </c>
      <c r="L81" s="3623" t="s">
        <v>2894</v>
      </c>
      <c r="M81" s="3624"/>
      <c r="N81" s="1306"/>
      <c r="O81" s="1307" t="e">
        <f ca="1">ROUND(O79*10000/'数据-汇总表'!E3,0)</f>
        <v>#VALUE!</v>
      </c>
      <c r="P81" s="1308"/>
      <c r="Q81" s="2029"/>
      <c r="R81" s="2029"/>
      <c r="S81" s="2029"/>
      <c r="T81" s="2029"/>
      <c r="U81" s="2029"/>
      <c r="V81" s="2029"/>
    </row>
    <row r="82" spans="1:26" ht="13.5" thickTop="1">
      <c r="A82" s="375" t="s">
        <v>1826</v>
      </c>
      <c r="B82" s="376" t="s">
        <v>432</v>
      </c>
      <c r="C82" s="377">
        <f ca="1">D63</f>
        <v>93875</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1827</v>
      </c>
      <c r="B83" s="376" t="s">
        <v>433</v>
      </c>
      <c r="C83" s="380">
        <v>0</v>
      </c>
      <c r="D83" s="378"/>
      <c r="E83" s="379"/>
      <c r="F83" s="42"/>
      <c r="G83" s="42"/>
      <c r="H83" s="1003"/>
      <c r="I83" s="311"/>
      <c r="J83" s="2029"/>
      <c r="K83" s="3635" t="s">
        <v>2881</v>
      </c>
      <c r="L83" s="3092" t="s">
        <v>2882</v>
      </c>
      <c r="M83" s="3082" t="e">
        <f>IF(N69&gt;10000,N69*0.5%,IF(AND(N69&gt;1000,N69&lt;=10000),N69*1%,IF(AND(N69&gt;100,N69&lt;=1000),N69*3%,IF(AND(N69&gt;10,N69&lt;=100),N69*5%,N69*8%))))</f>
        <v>#VALUE!</v>
      </c>
      <c r="N83" s="53" t="e">
        <f>ROUND(M83,1)</f>
        <v>#VALUE!</v>
      </c>
      <c r="O83" s="3085"/>
      <c r="P83" s="2029"/>
      <c r="Q83" s="2029"/>
      <c r="R83" s="2029"/>
      <c r="S83" s="2029"/>
      <c r="T83" s="2029"/>
      <c r="U83" s="2029"/>
      <c r="V83" s="2029"/>
    </row>
    <row r="84" spans="1:26" ht="12.75">
      <c r="A84" s="381" t="s">
        <v>1828</v>
      </c>
      <c r="B84" s="382" t="s">
        <v>434</v>
      </c>
      <c r="C84" s="383">
        <v>2000</v>
      </c>
      <c r="D84" s="384" t="s">
        <v>19</v>
      </c>
      <c r="E84" s="3127" t="s">
        <v>2951</v>
      </c>
      <c r="F84" s="42"/>
      <c r="G84" s="42"/>
      <c r="H84" s="1003"/>
      <c r="I84" s="311"/>
      <c r="J84" s="2029"/>
      <c r="K84" s="3635"/>
      <c r="L84" s="3092" t="s">
        <v>2883</v>
      </c>
      <c r="M84" s="308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2884</v>
      </c>
      <c r="P84" s="2029"/>
      <c r="Q84" s="2029"/>
      <c r="R84" s="2029"/>
      <c r="S84" s="2029"/>
      <c r="T84" s="2029"/>
      <c r="U84" s="2029"/>
      <c r="V84" s="2029"/>
    </row>
    <row r="85" spans="1:26" ht="12.75">
      <c r="A85" s="381" t="s">
        <v>1829</v>
      </c>
      <c r="B85" s="382" t="s">
        <v>435</v>
      </c>
      <c r="C85" s="385">
        <f ca="1">C81-C84</f>
        <v>87405</v>
      </c>
      <c r="D85" s="378" t="s">
        <v>19</v>
      </c>
      <c r="E85" s="379"/>
      <c r="F85" s="42"/>
      <c r="G85" s="42"/>
      <c r="H85" s="1003"/>
      <c r="I85" s="311"/>
      <c r="J85" s="2029"/>
      <c r="K85" s="3635"/>
      <c r="L85" s="3092" t="s">
        <v>2885</v>
      </c>
      <c r="M85" s="3082" t="e">
        <f>IF(N69&gt;1000,N69*0.1%,IF(AND(N69&gt;500,N69&lt;=1000),N69*0.5%,IF(AND(N69&gt;50,N69&lt;=500),N69*1%,IF(AND(N69&gt;1,N69&lt;=50),N69*1.5%))))</f>
        <v>#VALUE!</v>
      </c>
      <c r="N85" s="53" t="e">
        <f t="shared" si="2"/>
        <v>#VALUE!</v>
      </c>
      <c r="O85" s="2029" t="s">
        <v>2884</v>
      </c>
      <c r="P85" s="2029"/>
      <c r="Q85" s="2029"/>
      <c r="R85" s="2029"/>
      <c r="S85" s="2029"/>
      <c r="T85" s="2029"/>
      <c r="U85" s="2029"/>
      <c r="V85" s="2029"/>
    </row>
    <row r="86" spans="1:26" ht="13.5" thickBot="1">
      <c r="A86" s="386" t="s">
        <v>1830</v>
      </c>
      <c r="B86" s="387" t="s">
        <v>436</v>
      </c>
      <c r="C86" s="388">
        <f ca="1">IF(C85&lt;=0,0,ROUND(C85*D86,0))</f>
        <v>4895</v>
      </c>
      <c r="D86" s="389">
        <f>'数据-取费表'!B41</f>
        <v>5.6000000000000001E-2</v>
      </c>
      <c r="E86" s="390"/>
      <c r="F86" s="42"/>
      <c r="G86" s="42"/>
      <c r="H86" s="1003"/>
      <c r="I86" s="311"/>
      <c r="J86" s="2029"/>
      <c r="K86" s="3635"/>
      <c r="L86" s="3092" t="s">
        <v>2886</v>
      </c>
      <c r="M86" s="3082" t="e">
        <f>N69*0.5%</f>
        <v>#VALUE!</v>
      </c>
      <c r="N86" s="53" t="e">
        <f>IF(M86&gt;0.5,0.5,ROUND(M86,0))</f>
        <v>#VALUE!</v>
      </c>
      <c r="O86" s="2029" t="s">
        <v>2887</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635"/>
      <c r="L87" s="3092" t="s">
        <v>2888</v>
      </c>
      <c r="M87" s="308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5"/>
      <c r="P87" s="311"/>
      <c r="Q87" s="2029"/>
      <c r="R87" s="2029"/>
      <c r="S87" s="2029"/>
      <c r="T87" s="2029"/>
      <c r="U87" s="2029"/>
      <c r="V87" s="2029"/>
      <c r="W87" s="292"/>
      <c r="X87" s="292"/>
      <c r="Y87" s="292"/>
      <c r="Z87" s="292"/>
    </row>
    <row r="88" spans="1:26" s="1314" customFormat="1" ht="15" thickBot="1">
      <c r="A88" s="3617" t="s">
        <v>437</v>
      </c>
      <c r="B88" s="3618"/>
      <c r="C88" s="3618"/>
      <c r="D88" s="3618"/>
      <c r="E88" s="3618"/>
      <c r="F88" s="3618"/>
      <c r="G88" s="3618"/>
      <c r="H88" s="3618"/>
      <c r="I88" s="1315"/>
      <c r="J88" s="2037"/>
      <c r="K88" s="3635"/>
      <c r="L88" s="3092" t="s">
        <v>2889</v>
      </c>
      <c r="M88" s="3082" t="e">
        <f>IF(N69&gt;10000,N69*0.5%,IF(AND(N69&gt;5000,N69&lt;=10000),N69*1%,IF(AND(N69&gt;1000,N69&lt;=5000),N69*2%,IF(AND(N69&gt;200,N69&lt;=1000),N69*3%,N69*5%))))</f>
        <v>#VALUE!</v>
      </c>
      <c r="N88" s="53" t="e">
        <f>ROUND(M88,1)</f>
        <v>#VALUE!</v>
      </c>
      <c r="O88" s="3085"/>
      <c r="P88" s="11"/>
      <c r="Q88" s="2034"/>
      <c r="R88" s="2034"/>
      <c r="S88" s="2034"/>
      <c r="T88" s="2034"/>
      <c r="U88" s="2034"/>
      <c r="V88" s="2034"/>
      <c r="W88" s="2038"/>
      <c r="X88" s="2038"/>
      <c r="Y88" s="2038"/>
      <c r="Z88" s="2038"/>
    </row>
    <row r="89" spans="1:26" s="1314" customFormat="1" ht="14.25">
      <c r="A89" s="3615" t="s">
        <v>428</v>
      </c>
      <c r="B89" s="3616"/>
      <c r="C89" s="994"/>
      <c r="D89" s="994" t="s">
        <v>429</v>
      </c>
      <c r="E89" s="391" t="s">
        <v>438</v>
      </c>
      <c r="F89" s="392"/>
      <c r="G89" s="392"/>
      <c r="H89" s="393"/>
      <c r="I89" s="1316"/>
      <c r="J89" s="2039"/>
      <c r="K89" s="3635"/>
      <c r="L89" s="3092" t="s">
        <v>27</v>
      </c>
      <c r="M89" s="3083"/>
      <c r="N89" s="53" t="e">
        <f>ROUND(SUM(N83:N88),0)</f>
        <v>#VALUE!</v>
      </c>
      <c r="O89" s="3093" t="e">
        <f>N89/N69</f>
        <v>#VALUE!</v>
      </c>
      <c r="P89" s="2034"/>
      <c r="Q89" s="2034"/>
      <c r="R89" s="2034"/>
      <c r="S89" s="2034"/>
      <c r="T89" s="2034"/>
      <c r="U89" s="2034"/>
      <c r="V89" s="2034"/>
      <c r="W89" s="2038"/>
      <c r="X89" s="2038"/>
      <c r="Y89" s="2038"/>
      <c r="Z89" s="2038"/>
    </row>
    <row r="90" spans="1:26" s="1314" customFormat="1" ht="14.25">
      <c r="A90" s="381" t="s">
        <v>1825</v>
      </c>
      <c r="B90" s="382" t="s">
        <v>439</v>
      </c>
      <c r="C90" s="385">
        <f ca="1">ROUND(D63/(1+'数据-取费表'!C42),0)</f>
        <v>89405</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1831</v>
      </c>
      <c r="B91" s="348" t="s">
        <v>440</v>
      </c>
      <c r="C91" s="385">
        <f ca="1">C92+C96</f>
        <v>3097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1834</v>
      </c>
      <c r="B94" s="400" t="s">
        <v>446</v>
      </c>
      <c r="C94" s="378">
        <f>IF(F93="购房发票",ROUND(C93*H93*5%,0),0)</f>
        <v>500</v>
      </c>
      <c r="D94" s="401">
        <v>0.05</v>
      </c>
      <c r="E94" s="3578" t="s">
        <v>447</v>
      </c>
      <c r="F94" s="3577"/>
      <c r="G94" s="3577"/>
      <c r="H94" s="3614"/>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2434</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1836</v>
      </c>
      <c r="B96" s="376" t="s">
        <v>450</v>
      </c>
      <c r="C96" s="405">
        <f ca="1">ROUND(D63*D96/(1+'数据-取费表'!C42),0)</f>
        <v>536</v>
      </c>
      <c r="D96" s="406">
        <f>'数据-取费表'!B43</f>
        <v>6.000000000000001E-3</v>
      </c>
      <c r="E96" s="3606" t="s">
        <v>2433</v>
      </c>
      <c r="F96" s="3607"/>
      <c r="G96" s="3607"/>
      <c r="H96" s="3608"/>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1837</v>
      </c>
      <c r="B97" s="382" t="s">
        <v>451</v>
      </c>
      <c r="C97" s="385">
        <f ca="1">C90-C91</f>
        <v>86308</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1838</v>
      </c>
      <c r="B98" s="382" t="s">
        <v>452</v>
      </c>
      <c r="C98" s="407">
        <f ca="1">IF(C97&lt;=0,0,C97/C91)</f>
        <v>27.868259606070392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1839</v>
      </c>
      <c r="B99" s="387" t="s">
        <v>453</v>
      </c>
      <c r="C99" s="408">
        <f ca="1">ROUND(IF(C97&lt;=0,0,IF(C98&gt;=200%,C97*60%-C91*35%,IF(C98&gt;=100%,C97*50%-C91*15%,IF(C98&gt;=50%,C97*40%-C91*5%,IF(C98&lt;50%,C97*30%,0))))),0)</f>
        <v>50701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617" t="s">
        <v>454</v>
      </c>
      <c r="B101" s="3618"/>
      <c r="C101" s="3618"/>
      <c r="D101" s="3618"/>
      <c r="E101" s="3618"/>
      <c r="F101" s="3618"/>
      <c r="G101" s="3618"/>
      <c r="H101" s="3618"/>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615" t="s">
        <v>428</v>
      </c>
      <c r="B102" s="3616"/>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1825</v>
      </c>
      <c r="B103" s="382" t="s">
        <v>439</v>
      </c>
      <c r="C103" s="385">
        <f ca="1">ROUND(D63/(1+'数据-取费表'!C42),0)</f>
        <v>89405</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1831</v>
      </c>
      <c r="B104" s="348" t="s">
        <v>440</v>
      </c>
      <c r="C104" s="385">
        <f ca="1">IF(H106="仅含出让金",C105+C108+C109+C110+C111+C112,C105+C109+C110+C111+C112)</f>
        <v>1226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1832</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1833</v>
      </c>
      <c r="B106" s="376" t="s">
        <v>456</v>
      </c>
      <c r="C106" s="416">
        <v>555</v>
      </c>
      <c r="D106" s="406"/>
      <c r="E106" s="417" t="s">
        <v>457</v>
      </c>
      <c r="F106" s="986"/>
      <c r="G106" s="418" t="s">
        <v>458</v>
      </c>
      <c r="H106" s="419" t="s">
        <v>2444</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1840</v>
      </c>
      <c r="B109" s="376" t="s">
        <v>461</v>
      </c>
      <c r="C109" s="405">
        <f>IF(H109="——",IF(F1="现房",'剩余法-现房'!C18,'剩余法-待开发'!C18),I109)</f>
        <v>55</v>
      </c>
      <c r="D109" s="406"/>
      <c r="E109" s="3609" t="s">
        <v>462</v>
      </c>
      <c r="F109" s="3607"/>
      <c r="G109" s="3607"/>
      <c r="H109" s="1942" t="s">
        <v>2283</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1841</v>
      </c>
      <c r="B110" s="376" t="s">
        <v>463</v>
      </c>
      <c r="C110" s="405">
        <f>ROUND((C105+C108+C109)*D110,0)</f>
        <v>63</v>
      </c>
      <c r="D110" s="406">
        <v>0.1</v>
      </c>
      <c r="E110" s="3609" t="s">
        <v>464</v>
      </c>
      <c r="F110" s="3607"/>
      <c r="G110" s="3607"/>
      <c r="H110" s="3608"/>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1842</v>
      </c>
      <c r="B111" s="376" t="s">
        <v>450</v>
      </c>
      <c r="C111" s="405">
        <f ca="1">ROUND(D63*D111/(1+'数据-取费表'!C42),0)</f>
        <v>536</v>
      </c>
      <c r="D111" s="406">
        <f>'数据-取费表'!B43</f>
        <v>6.000000000000001E-3</v>
      </c>
      <c r="E111" s="3606" t="s">
        <v>2433</v>
      </c>
      <c r="F111" s="3607"/>
      <c r="G111" s="3607"/>
      <c r="H111" s="3608"/>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1843</v>
      </c>
      <c r="B112" s="376" t="s">
        <v>465</v>
      </c>
      <c r="C112" s="405">
        <f>ROUND(C108*D112,0)</f>
        <v>0</v>
      </c>
      <c r="D112" s="406">
        <v>0.2</v>
      </c>
      <c r="E112" s="3609" t="s">
        <v>2458</v>
      </c>
      <c r="F112" s="3607"/>
      <c r="G112" s="3607"/>
      <c r="H112" s="3608"/>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1837</v>
      </c>
      <c r="B113" s="382" t="s">
        <v>451</v>
      </c>
      <c r="C113" s="385">
        <f ca="1">ROUND(C103-C104,0)</f>
        <v>88179</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1838</v>
      </c>
      <c r="B114" s="382" t="s">
        <v>452</v>
      </c>
      <c r="C114" s="407">
        <f ca="1">IF(C113&lt;=0,0,C113/C104)</f>
        <v>71.924143556280583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1839</v>
      </c>
      <c r="B115" s="387" t="s">
        <v>453</v>
      </c>
      <c r="C115" s="408">
        <f ca="1">ROUND(IF(C113&lt;=0,0,IF(C114&gt;=200%,C113*60%-C104*35%,IF(C114&gt;=100%,C113*50%-C104*15%,IF(C114&gt;=50%,C113*40%-C104*5%,IF(C114&lt;50%,C113*30%,0))))),0)</f>
        <v>52478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5"/>
      <c r="C1" s="2105"/>
      <c r="D1" s="2105"/>
      <c r="E1" s="2105"/>
      <c r="F1" s="2105"/>
      <c r="G1" s="2105"/>
      <c r="H1" s="2105"/>
      <c r="I1" s="2105"/>
      <c r="J1" s="2105"/>
      <c r="K1" s="422">
        <f>MATCH(B1,'数据-取费表'!A6:A16,0)+5</f>
        <v>11</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1686</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2659</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1850</v>
      </c>
      <c r="B13" s="449" t="s">
        <v>479</v>
      </c>
      <c r="C13" s="450">
        <f ca="1">IF(B1="",'数据-取费表'!M16,INDIRECT("'数据-取费表'!M"&amp;$K$1)+INDIRECT("'数据-取费表'!t"&amp;$K$1))</f>
        <v>168432</v>
      </c>
      <c r="D13" s="451"/>
      <c r="E13" s="365"/>
      <c r="F13" s="452"/>
      <c r="G13" s="444"/>
      <c r="H13" s="447"/>
      <c r="I13" s="447"/>
      <c r="J13" s="447"/>
      <c r="K13" s="448"/>
    </row>
    <row r="14" spans="1:41" s="2117" customFormat="1" ht="13.5" customHeight="1">
      <c r="A14" s="1633" t="s">
        <v>1851</v>
      </c>
      <c r="B14" s="449" t="s">
        <v>480</v>
      </c>
      <c r="C14" s="53">
        <f ca="1">ROUND(C13*F14,0)</f>
        <v>5053</v>
      </c>
      <c r="D14" s="451"/>
      <c r="E14" s="365"/>
      <c r="F14" s="453">
        <f>'数据-取费表'!B33</f>
        <v>0.03</v>
      </c>
      <c r="G14" s="444" t="s">
        <v>503</v>
      </c>
      <c r="H14" s="447"/>
      <c r="I14" s="447"/>
      <c r="J14" s="447"/>
      <c r="K14" s="448"/>
    </row>
    <row r="15" spans="1:41" s="2117" customFormat="1" ht="13.5" customHeight="1">
      <c r="A15" s="1633" t="s">
        <v>1852</v>
      </c>
      <c r="B15" s="449" t="s">
        <v>482</v>
      </c>
      <c r="C15" s="53">
        <f ca="1">ROUND(IF(B1="",SUMIF('数据-取费表'!C:C,"住宅",'数据-取费表'!M:M)*F15,IF(INDIRECT("'数据-取费表'!c"&amp;$K$1)="住宅",INDIRECT("'数据-取费表'!M"&amp;$K$1)*F15,0)),0)</f>
        <v>0</v>
      </c>
      <c r="D15" s="451"/>
      <c r="E15" s="365"/>
      <c r="F15" s="453">
        <f>'数据-取费表'!B34</f>
        <v>0</v>
      </c>
      <c r="G15" s="444" t="s">
        <v>503</v>
      </c>
      <c r="H15" s="447"/>
      <c r="I15" s="447"/>
      <c r="J15" s="447"/>
      <c r="K15" s="448"/>
    </row>
    <row r="16" spans="1:41" s="2118" customFormat="1" ht="13.5" customHeight="1">
      <c r="A16" s="1633" t="s">
        <v>1853</v>
      </c>
      <c r="B16" s="449" t="s">
        <v>484</v>
      </c>
      <c r="C16" s="53">
        <f ca="1">ROUND(D16*E16/10000,0)</f>
        <v>10114</v>
      </c>
      <c r="D16" s="451">
        <f ca="1">IF(B1="",'数据-汇总表'!E3,INDIRECT("'数据-取费表'!K"&amp;$K$1)+INDIRECT("'数据-取费表'!S"&amp;$K$1))</f>
        <v>505683.77</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49" t="s">
        <v>485</v>
      </c>
      <c r="C17" s="454">
        <f ca="1">ROUND(C13*F17,0)</f>
        <v>2526</v>
      </c>
      <c r="D17" s="455"/>
      <c r="E17" s="454"/>
      <c r="F17" s="456">
        <f>'数据-取费表'!B36</f>
        <v>1.4999999999999999E-2</v>
      </c>
      <c r="G17" s="444" t="s">
        <v>503</v>
      </c>
      <c r="H17" s="457"/>
      <c r="I17" s="457"/>
      <c r="J17" s="457"/>
      <c r="K17" s="458"/>
    </row>
    <row r="18" spans="1:14" s="2120" customFormat="1" ht="13.5" customHeight="1">
      <c r="A18" s="1634" t="s">
        <v>1855</v>
      </c>
      <c r="B18" s="459" t="s">
        <v>487</v>
      </c>
      <c r="C18" s="460">
        <f ca="1">SUM(C13:C17)</f>
        <v>186125</v>
      </c>
      <c r="D18" s="461"/>
      <c r="E18" s="462"/>
      <c r="F18" s="462"/>
      <c r="G18" s="1327" t="s">
        <v>2437</v>
      </c>
      <c r="H18" s="447"/>
      <c r="I18" s="447"/>
      <c r="J18" s="447"/>
      <c r="K18" s="448"/>
    </row>
    <row r="19" spans="1:14" s="2120" customFormat="1" ht="13.5" customHeight="1">
      <c r="A19" s="1634" t="s">
        <v>1856</v>
      </c>
      <c r="B19" s="459" t="s">
        <v>493</v>
      </c>
      <c r="C19" s="460">
        <f ca="1">ROUND(C18*F19,0)</f>
        <v>5584</v>
      </c>
      <c r="D19" s="462"/>
      <c r="E19" s="462"/>
      <c r="F19" s="466">
        <f>'数据-取费表'!B37</f>
        <v>0.03</v>
      </c>
      <c r="G19" s="444" t="s">
        <v>504</v>
      </c>
      <c r="H19" s="447"/>
      <c r="I19" s="447"/>
      <c r="J19" s="447"/>
      <c r="K19" s="448"/>
      <c r="L19" s="2122"/>
      <c r="M19" s="2122"/>
      <c r="N19" s="2122"/>
    </row>
    <row r="20" spans="1:14" s="2120" customFormat="1" ht="13.5" customHeight="1">
      <c r="A20" s="1634" t="s">
        <v>1857</v>
      </c>
      <c r="B20" s="459" t="s">
        <v>505</v>
      </c>
      <c r="C20" s="3056">
        <f>F20</f>
        <v>0.03</v>
      </c>
      <c r="D20" s="469" t="s">
        <v>506</v>
      </c>
      <c r="E20" s="469"/>
      <c r="F20" s="486">
        <f>'数据-取费表'!B38</f>
        <v>0.03</v>
      </c>
      <c r="G20" s="1327" t="s">
        <v>507</v>
      </c>
      <c r="H20" s="447"/>
      <c r="I20" s="447"/>
      <c r="J20" s="447"/>
      <c r="K20" s="448"/>
      <c r="L20" s="2122"/>
      <c r="M20" s="2122"/>
      <c r="N20" s="2122"/>
    </row>
    <row r="21" spans="1:14" s="2122" customFormat="1" ht="13.5" customHeight="1">
      <c r="A21" s="1634" t="s">
        <v>1860</v>
      </c>
      <c r="B21" s="461" t="s">
        <v>494</v>
      </c>
      <c r="C21" s="470">
        <f ca="1">C22</f>
        <v>13820</v>
      </c>
      <c r="D21" s="467">
        <f ca="1">C23</f>
        <v>2.2000000000000001E-3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2459</v>
      </c>
    </row>
    <row r="22" spans="1:14" s="2121" customFormat="1" ht="13.5" customHeight="1">
      <c r="A22" s="1633" t="s">
        <v>1850</v>
      </c>
      <c r="B22" s="1328" t="s">
        <v>2440</v>
      </c>
      <c r="C22" s="487">
        <f ca="1">ROUND(IF('数据-取费表'!B22&lt;=1,(C18+C19)*F21*'数据-取费表'!B20/2,(C18+C19)*(POWER((1+F21),'数据-取费表'!B20/2)-1)),0)</f>
        <v>13820</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1851</v>
      </c>
      <c r="B23" s="1328" t="s">
        <v>509</v>
      </c>
      <c r="C23" s="488">
        <f ca="1">ROUND(IF('数据-取费表'!B22&lt;=1,F20*F21*'数据-取费表'!B20/2,F20*(POWER((1+F21),'数据-取费表'!B20/2)-1)),4)</f>
        <v>2.2000000000000001E-3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1861</v>
      </c>
      <c r="B24" s="3058" t="s">
        <v>2839</v>
      </c>
      <c r="C24" s="478">
        <f ca="1">C25</f>
        <v>34508</v>
      </c>
      <c r="D24" s="489">
        <f ca="1">C26</f>
        <v>5.4000000000000003E-3</v>
      </c>
      <c r="E24" s="469" t="s">
        <v>508</v>
      </c>
      <c r="F24" s="479">
        <f ca="1">IF(B1="",'数据-取费表'!Q16,INDIRECT("'数据-取费表'!q"&amp;$K$1))</f>
        <v>0.18</v>
      </c>
      <c r="G24" s="444"/>
      <c r="H24" s="447"/>
      <c r="I24" s="447"/>
      <c r="J24" s="447"/>
      <c r="K24" s="448"/>
    </row>
    <row r="25" spans="1:14" s="2121" customFormat="1" ht="13.5" customHeight="1">
      <c r="A25" s="1633" t="s">
        <v>1850</v>
      </c>
      <c r="B25" s="1328" t="s">
        <v>2441</v>
      </c>
      <c r="C25" s="490">
        <f ca="1">ROUND((C18+C19)*F24,0)</f>
        <v>34508</v>
      </c>
      <c r="D25" s="472"/>
      <c r="E25" s="473"/>
      <c r="F25" s="480"/>
      <c r="G25" s="1326" t="s">
        <v>2438</v>
      </c>
      <c r="H25" s="457"/>
      <c r="I25" s="457"/>
      <c r="J25" s="457"/>
      <c r="K25" s="458"/>
    </row>
    <row r="26" spans="1:14" s="2121" customFormat="1" ht="13.5" customHeight="1">
      <c r="A26" s="1633" t="s">
        <v>1851</v>
      </c>
      <c r="B26" s="1328" t="s">
        <v>510</v>
      </c>
      <c r="C26" s="491">
        <f ca="1">ROUND(F20*F24,4)</f>
        <v>5.4000000000000003E-3</v>
      </c>
      <c r="D26" s="472"/>
      <c r="E26" s="481"/>
      <c r="F26" s="480"/>
      <c r="G26" s="1326" t="s">
        <v>511</v>
      </c>
      <c r="H26" s="457"/>
      <c r="I26" s="457"/>
      <c r="J26" s="457"/>
      <c r="K26" s="458"/>
    </row>
    <row r="27" spans="1:14" s="2121" customFormat="1" ht="13.5" customHeight="1">
      <c r="A27" s="1637" t="s">
        <v>1869</v>
      </c>
      <c r="B27" s="459" t="s">
        <v>512</v>
      </c>
      <c r="C27" s="3057">
        <f>ROUND(F27/(1+'数据-取费表'!C42),4)</f>
        <v>5.33E-2</v>
      </c>
      <c r="D27" s="462" t="s">
        <v>2837</v>
      </c>
      <c r="E27" s="462"/>
      <c r="F27" s="466">
        <f>'数据-取费表'!B41</f>
        <v>5.6000000000000001E-2</v>
      </c>
      <c r="G27" s="1961" t="s">
        <v>2295</v>
      </c>
      <c r="H27" s="447"/>
      <c r="I27" s="447"/>
      <c r="J27" s="447"/>
      <c r="K27" s="448"/>
    </row>
    <row r="28" spans="1:14" s="2122" customFormat="1" ht="13.5" customHeight="1">
      <c r="A28" s="1637" t="s">
        <v>1870</v>
      </c>
      <c r="B28" s="476" t="s">
        <v>513</v>
      </c>
      <c r="C28" s="470">
        <f ca="1">ROUND((C18+C19+C21+C24)/(1-C20-D21-D24-C27),0)</f>
        <v>264038</v>
      </c>
      <c r="D28" s="477"/>
      <c r="E28" s="469"/>
      <c r="F28" s="471"/>
      <c r="G28" s="1327" t="s">
        <v>2439</v>
      </c>
      <c r="H28" s="447"/>
      <c r="I28" s="447"/>
      <c r="J28" s="447"/>
      <c r="K28" s="448"/>
    </row>
    <row r="29" spans="1:14" s="2122" customFormat="1" ht="13.5" customHeight="1">
      <c r="A29" s="1637" t="s">
        <v>1871</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9" t="s">
        <v>516</v>
      </c>
      <c r="H30" s="496"/>
      <c r="I30" s="496"/>
      <c r="J30" s="447"/>
      <c r="K30" s="448"/>
    </row>
    <row r="31" spans="1:14" s="2127" customFormat="1" ht="13.5" customHeight="1">
      <c r="A31" s="2507" t="s">
        <v>1867</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8"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2663</v>
      </c>
      <c r="B1" s="2917" t="s">
        <v>2760</v>
      </c>
    </row>
    <row r="2" spans="1:55" s="2921" customFormat="1" ht="15" thickTop="1">
      <c r="A2" s="2919" t="s">
        <v>2667</v>
      </c>
      <c r="B2" s="2920" t="str">
        <f>'预评函-封皮'!B37</f>
        <v>出让国有建设用地使用权抵押价格预评估</v>
      </c>
      <c r="AX2" s="2922"/>
      <c r="AZ2" s="2922"/>
      <c r="BA2" s="2923"/>
      <c r="BC2" s="2923"/>
    </row>
    <row r="3" spans="1:55" s="2924" customFormat="1">
      <c r="A3" s="2903" t="s">
        <v>2668</v>
      </c>
      <c r="B3" s="2906">
        <f>'预评函-封皮'!B40</f>
        <v>0</v>
      </c>
    </row>
    <row r="4" spans="1:55" s="2905" customFormat="1">
      <c r="A4" s="2903" t="s">
        <v>2669</v>
      </c>
      <c r="B4" s="2904" t="str">
        <f>'预评函-封皮'!B46</f>
        <v>土地估价师、土地估价师</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2670</v>
      </c>
      <c r="B5" s="2926" t="str">
        <f>'预评函-封皮'!B49</f>
        <v>康正预评字号</v>
      </c>
    </row>
    <row r="6" spans="1:55" s="2927" customFormat="1" ht="15" thickTop="1">
      <c r="A6" s="2919" t="s">
        <v>2712</v>
      </c>
      <c r="B6" s="2920" t="str">
        <f>'预评函-1'!A4</f>
        <v>受贵公司委托，我公司对出让国有建设用地使用权抵押价格进行了预评估。</v>
      </c>
      <c r="AM6" s="2928"/>
    </row>
    <row r="7" spans="1:55" s="2902" customFormat="1">
      <c r="A7" s="2903" t="s">
        <v>2664</v>
      </c>
      <c r="B7" s="2904" t="str">
        <f>'预评函-1'!A6</f>
        <v>估价对象为使用的、位于出让国有建设用地使用权。根据《国有土地使用证》[]，估价对象（分摊）出让国有建设用地使用权面积为69347.5平方米。根据《建设工程规划许可证》[]、《出让合同》[]，估价对象规划建筑面积为505683.77平方米。</v>
      </c>
    </row>
    <row r="8" spans="1:55" s="2902" customFormat="1">
      <c r="A8" s="2903" t="s">
        <v>2665</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2715</v>
      </c>
      <c r="B9" s="290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2" customFormat="1">
      <c r="A10" s="2903" t="s">
        <v>2666</v>
      </c>
      <c r="B10" s="2904" t="str">
        <f>'预评函-1'!A11</f>
        <v>2018年3月8日（评估专业人员勘察现场之日）</v>
      </c>
    </row>
    <row r="11" spans="1:55" s="2902" customFormat="1">
      <c r="A11" s="2903" t="s">
        <v>2672</v>
      </c>
      <c r="B11" s="2904" t="str">
        <f>'预评函-1'!A14</f>
        <v>根据《国有土地使用证》[]，本次评估估价对象证载（地类）用途为。</v>
      </c>
    </row>
    <row r="12" spans="1:55" s="2902" customFormat="1">
      <c r="A12" s="2903" t="s">
        <v>2673</v>
      </c>
      <c r="B12" s="2904" t="str">
        <f>'预评函-1'!A15</f>
        <v>本次评估设定用途即为证载用途。</v>
      </c>
    </row>
    <row r="13" spans="1:55" s="2902" customFormat="1">
      <c r="A13" s="2903" t="s">
        <v>2674</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2675</v>
      </c>
      <c r="B14" s="2904" t="str">
        <f>'预评函-1'!A18</f>
        <v>。本次评估设定土地开发程度为红线外市政基础设施达“七通”、宗地红线内场地平整。</v>
      </c>
    </row>
    <row r="15" spans="1:55" s="2902" customFormat="1">
      <c r="A15" s="2903" t="s">
        <v>2671</v>
      </c>
      <c r="B15" s="2904" t="str">
        <f>'预评函-1'!A20</f>
        <v>根据《国有土地使用证》[]，估价对象（分摊）出让国有建设用地使用权面积为69347.5平方米。根据《建设工程规划许可证》[]、《出让合同》[]，估价对象规划建筑面积为505683.77平方米。</v>
      </c>
    </row>
    <row r="16" spans="1:55" s="2902" customFormat="1">
      <c r="A16" s="2903" t="s">
        <v>2676</v>
      </c>
      <c r="B16" s="2904" t="str">
        <f>'预评函-1'!A22</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17" spans="1:48" s="2902" customFormat="1">
      <c r="A17" s="2903" t="s">
        <v>2677</v>
      </c>
      <c r="B17" s="2904" t="str">
        <f>'预评函-1'!A23</f>
        <v>本次评估设定估价对象剩余土地使用年限为。</v>
      </c>
    </row>
    <row r="18" spans="1:48" s="2902" customFormat="1">
      <c r="A18" s="2903" t="s">
        <v>2678</v>
      </c>
      <c r="B18" s="2904" t="str">
        <f>'预评函-1'!A25</f>
        <v>本次估价的“出让国有建设用地使用权价格”是指在估价对象土地所有权为国家所有，使用权性质为出让，在公开市场条件下、于估价期日2018年3月8日，在规划利用条件下、设定土地开发程度为红线外“七通”、宗地内场地，设定用途为，剩余土地使用年限为的出让国有建设用地使用权价格。</v>
      </c>
    </row>
    <row r="19" spans="1:48" s="2902" customFormat="1">
      <c r="A19" s="2903" t="s">
        <v>2679</v>
      </c>
      <c r="B19" s="290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2" customFormat="1">
      <c r="A20" s="2903" t="s">
        <v>2680</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2681</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2682</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2683</v>
      </c>
      <c r="B23" s="2904" t="str">
        <f>'预评函-2'!K2</f>
        <v>估价期日：2018年3月8日</v>
      </c>
    </row>
    <row r="24" spans="1:48">
      <c r="A24" s="2903" t="s">
        <v>2684</v>
      </c>
      <c r="B24" s="2904" t="str">
        <f>'预评函-2'!R2</f>
        <v>估价期日的国有建设用地使用权性质：出让</v>
      </c>
    </row>
    <row r="25" spans="1:48">
      <c r="A25" s="2903" t="s">
        <v>2740</v>
      </c>
      <c r="B25" s="2904" t="str">
        <f>'预评函-2'!A3</f>
        <v>估价期日土地使用者</v>
      </c>
    </row>
    <row r="26" spans="1:48">
      <c r="A26" s="2903" t="s">
        <v>2716</v>
      </c>
      <c r="B26" s="2904" t="str">
        <f>'预评函-2'!A5</f>
        <v>中信开发</v>
      </c>
    </row>
    <row r="27" spans="1:48">
      <c r="A27" s="2903" t="s">
        <v>2741</v>
      </c>
      <c r="B27" s="2904" t="str">
        <f>'预评函-2'!B3</f>
        <v>宗地编号/不动产单元号</v>
      </c>
    </row>
    <row r="28" spans="1:48">
      <c r="A28" s="2903" t="s">
        <v>2717</v>
      </c>
      <c r="B28" s="2904" t="str">
        <f>'预评函-2'!B5</f>
        <v>11111111111</v>
      </c>
    </row>
    <row r="29" spans="1:48">
      <c r="A29" s="2903" t="s">
        <v>2743</v>
      </c>
      <c r="B29" s="2904">
        <f>'预评函-2'!C5</f>
        <v>22</v>
      </c>
    </row>
    <row r="30" spans="1:48">
      <c r="A30" s="2903" t="s">
        <v>2744</v>
      </c>
      <c r="B30" s="2904" t="str">
        <f>'预评函-2'!D3</f>
        <v>土地使用证编号/不动产权证书编号</v>
      </c>
    </row>
    <row r="31" spans="1:48">
      <c r="A31" s="2903" t="s">
        <v>2718</v>
      </c>
      <c r="B31" s="2904" t="str">
        <f>'预评函-2'!D5</f>
        <v>京国土字第111号</v>
      </c>
    </row>
    <row r="32" spans="1:48">
      <c r="A32" s="2903" t="s">
        <v>2719</v>
      </c>
      <c r="B32" s="2904">
        <f>'预评函-2'!E5</f>
        <v>0</v>
      </c>
      <c r="AV32" s="2908"/>
    </row>
    <row r="33" spans="1:2">
      <c r="A33" s="2903" t="s">
        <v>2720</v>
      </c>
      <c r="B33" s="2904">
        <f>'预评函-2'!F5</f>
        <v>258</v>
      </c>
    </row>
    <row r="34" spans="1:2">
      <c r="A34" s="2903" t="s">
        <v>2721</v>
      </c>
      <c r="B34" s="2904">
        <f>'预评函-2'!G5</f>
        <v>0</v>
      </c>
    </row>
    <row r="35" spans="1:2">
      <c r="A35" s="2903" t="s">
        <v>2722</v>
      </c>
      <c r="B35" s="2904">
        <f>'预评函-2'!H5</f>
        <v>1.5</v>
      </c>
    </row>
    <row r="36" spans="1:2">
      <c r="A36" s="2903" t="s">
        <v>2723</v>
      </c>
      <c r="B36" s="2904">
        <f>'预评函-2'!I5</f>
        <v>1.5</v>
      </c>
    </row>
    <row r="37" spans="1:2">
      <c r="A37" s="2903" t="s">
        <v>2724</v>
      </c>
      <c r="B37" s="2904">
        <f>'预评函-2'!J5</f>
        <v>1.5</v>
      </c>
    </row>
    <row r="38" spans="1:2">
      <c r="A38" s="2903" t="s">
        <v>2725</v>
      </c>
      <c r="B38" s="2904" t="str">
        <f>'预评函-2'!K5</f>
        <v>红线外七通、宗地红线内</v>
      </c>
    </row>
    <row r="39" spans="1:2">
      <c r="A39" s="2903" t="s">
        <v>2726</v>
      </c>
      <c r="B39" s="2904" t="str">
        <f>'预评函-2'!L5</f>
        <v>红线外七通、宗地红线内场地</v>
      </c>
    </row>
    <row r="40" spans="1:2">
      <c r="A40" s="2903" t="s">
        <v>2745</v>
      </c>
      <c r="B40" s="2904" t="str">
        <f>'预评函-2'!M3</f>
        <v>（剩余）土地使用年限/年</v>
      </c>
    </row>
    <row r="41" spans="1:2">
      <c r="A41" s="2903" t="s">
        <v>2727</v>
      </c>
      <c r="B41" s="2904">
        <f>'预评函-2'!M5</f>
        <v>0</v>
      </c>
    </row>
    <row r="42" spans="1:2">
      <c r="A42" s="2903" t="s">
        <v>2746</v>
      </c>
      <c r="B42" s="2904" t="str">
        <f>'预评函-2'!N3</f>
        <v>（分摊）出让国有建设用地使用权面积/㎡</v>
      </c>
    </row>
    <row r="43" spans="1:2">
      <c r="A43" s="2903" t="s">
        <v>2728</v>
      </c>
      <c r="B43" s="2904">
        <f>'预评函-2'!N5</f>
        <v>69347.5</v>
      </c>
    </row>
    <row r="44" spans="1:2">
      <c r="A44" s="2903" t="s">
        <v>2747</v>
      </c>
      <c r="B44" s="2904" t="str">
        <f>'预评函-2'!O3</f>
        <v>规划建筑面积/㎡</v>
      </c>
    </row>
    <row r="45" spans="1:2">
      <c r="A45" s="2903" t="s">
        <v>2729</v>
      </c>
      <c r="B45" s="2904">
        <f>'预评函-2'!O5</f>
        <v>505683.77</v>
      </c>
    </row>
    <row r="46" spans="1:2">
      <c r="A46" s="2903" t="s">
        <v>2730</v>
      </c>
      <c r="B46" s="2904">
        <f ca="1">'预评函-2'!P5</f>
        <v>22561</v>
      </c>
    </row>
    <row r="47" spans="1:2">
      <c r="A47" s="2903" t="s">
        <v>2731</v>
      </c>
      <c r="B47" s="2904">
        <f ca="1">'预评函-2'!Q5</f>
        <v>3094</v>
      </c>
    </row>
    <row r="48" spans="1:2">
      <c r="A48" s="2903" t="s">
        <v>2732</v>
      </c>
      <c r="B48" s="2904">
        <f ca="1">'预评函-2'!R5</f>
        <v>156458</v>
      </c>
    </row>
    <row r="49" spans="1:2">
      <c r="A49" s="2903" t="s">
        <v>2748</v>
      </c>
      <c r="B49" s="2904" t="str">
        <f>'预评函-2'!A6</f>
        <v>抵押价格</v>
      </c>
    </row>
    <row r="50" spans="1:2">
      <c r="A50" s="2903" t="s">
        <v>2733</v>
      </c>
      <c r="B50" s="2904" t="str">
        <f>'预评函-2'!R6</f>
        <v>——</v>
      </c>
    </row>
    <row r="51" spans="1:2">
      <c r="A51" s="2903" t="s">
        <v>2749</v>
      </c>
      <c r="B51" s="2904" t="str">
        <f>'预评函-2'!A7</f>
        <v>——</v>
      </c>
    </row>
    <row r="52" spans="1:2">
      <c r="A52" s="2903" t="s">
        <v>2734</v>
      </c>
      <c r="B52" s="2904" t="str">
        <f>'预评函-2'!R7</f>
        <v>——</v>
      </c>
    </row>
    <row r="53" spans="1:2">
      <c r="A53" s="2903" t="s">
        <v>2750</v>
      </c>
      <c r="B53" s="2904">
        <f>'预评函-2'!A8</f>
        <v>0</v>
      </c>
    </row>
    <row r="54" spans="1:2" s="2918" customFormat="1" ht="15" thickBot="1">
      <c r="A54" s="2925" t="s">
        <v>2735</v>
      </c>
      <c r="B54" s="2926" t="str">
        <f>'预评函-2'!R8</f>
        <v>——</v>
      </c>
    </row>
    <row r="55" spans="1:2" ht="15" thickTop="1">
      <c r="A55" s="2914" t="s">
        <v>2685</v>
      </c>
      <c r="B55" s="2915" t="str">
        <f>'预评函-3'!A2</f>
        <v>1.权利限制：根据估价对象《不动产权证书》原件、《国有土地使用权》复印件，截至估价期日，估价对象抵押权未见登记。未设定租赁等其他他项权利。</v>
      </c>
    </row>
    <row r="56" spans="1:2">
      <c r="A56" s="2903" t="s">
        <v>2686</v>
      </c>
      <c r="B56" s="2904" t="str">
        <f>'预评函-3'!A3</f>
        <v>2.基础设施条件：估价对象实际开发程度为红线外七通、宗地红线内；本次评估设定开发程度为红线外七通、宗地红线内场地。</v>
      </c>
    </row>
    <row r="57" spans="1:2">
      <c r="A57" s="2903" t="s">
        <v>2687</v>
      </c>
      <c r="B57" s="2904" t="str">
        <f>'预评函-3'!A4</f>
        <v>3.估价规划限制条件：详见《建设工程规划许可证》[]、《出让合同》[]。</v>
      </c>
    </row>
    <row r="58" spans="1:2" s="2918" customFormat="1" ht="15" thickBot="1">
      <c r="A58" s="2925" t="s">
        <v>2736</v>
      </c>
      <c r="B58" s="2926" t="str">
        <f>'预评函-3'!A5</f>
        <v>4.影响价格的其他限定条件：无。</v>
      </c>
    </row>
    <row r="59" spans="1:2" ht="15" thickTop="1">
      <c r="A59" s="2914" t="s">
        <v>2688</v>
      </c>
      <c r="B59" s="2915" t="str">
        <f>'预评函-3'!A8</f>
        <v>2.本《评估意见函》仅供金融机构进行内部审核使用，不做其他目的之用。</v>
      </c>
    </row>
    <row r="60" spans="1:2">
      <c r="A60" s="2903" t="s">
        <v>2689</v>
      </c>
      <c r="B60" s="2904" t="str">
        <f>'预评函-3'!A9</f>
        <v>3.抵押双方在办理抵押登记手续时，应使用本公司出具的正式《土地估价报告》，特提请报告使用者注意。</v>
      </c>
    </row>
    <row r="61" spans="1:2">
      <c r="A61" s="2903" t="s">
        <v>2691</v>
      </c>
      <c r="B61" s="2904" t="str">
        <f>'预评函-3'!A10</f>
        <v>4.估价师所知悉的法定优先受偿款情况为：</v>
      </c>
    </row>
    <row r="62" spans="1:2">
      <c r="A62" s="2903" t="s">
        <v>2690</v>
      </c>
      <c r="B62" s="290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2692</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2693</v>
      </c>
      <c r="B64" s="2909" t="str">
        <f>'预评函-3'!A13</f>
        <v>（3）。</v>
      </c>
    </row>
    <row r="65" spans="1:2">
      <c r="A65" s="2903" t="s">
        <v>2694</v>
      </c>
      <c r="B65" s="2910" t="str">
        <f>'预评函-3'!A14</f>
        <v>综上，本次评估不存在估价师知悉的法定优先受偿款</v>
      </c>
    </row>
    <row r="66" spans="1:2">
      <c r="A66" s="2903" t="s">
        <v>2695</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2696</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2699</v>
      </c>
      <c r="B68" s="2929">
        <f>'预评函-3'!D30</f>
        <v>42558</v>
      </c>
    </row>
    <row r="69" spans="1:2" ht="15" thickTop="1">
      <c r="A69" s="2914" t="s">
        <v>2697</v>
      </c>
      <c r="B69" s="2915" t="str">
        <f>'预评函-3'!A20</f>
        <v>土地估价师</v>
      </c>
    </row>
    <row r="70" spans="1:2">
      <c r="A70" s="2903" t="s">
        <v>2697</v>
      </c>
      <c r="B70" s="2910">
        <f>'预评函-3'!B20</f>
        <v>0</v>
      </c>
    </row>
    <row r="71" spans="1:2">
      <c r="A71" s="2903" t="s">
        <v>2698</v>
      </c>
      <c r="B71" s="2904" t="str">
        <f>'预评函-3'!A21</f>
        <v>土地估价师</v>
      </c>
    </row>
    <row r="72" spans="1:2" s="2918" customFormat="1" ht="15" thickBot="1">
      <c r="A72" s="2925" t="s">
        <v>2698</v>
      </c>
      <c r="B72" s="2931">
        <f>'预评函-3'!B21</f>
        <v>0</v>
      </c>
    </row>
    <row r="73" spans="1:2" ht="15" thickTop="1">
      <c r="A73" s="2914" t="s">
        <v>2757</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2758</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2759</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2794</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M17" sqref="M1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88561</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1686</v>
      </c>
      <c r="B3" s="510">
        <f>ROUND(B2*10000/'数据-汇总表'!E3,0)</f>
        <v>1751</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521</v>
      </c>
      <c r="B4" s="427">
        <f>IF(B48="单位面积地价",C50,ROUND(B2*10000/'数据-汇总表'!D3,0))</f>
        <v>12771</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851</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522</v>
      </c>
      <c r="B6" s="513"/>
      <c r="C6" s="3660" t="s">
        <v>523</v>
      </c>
      <c r="D6" s="3661"/>
      <c r="E6" s="3660" t="s">
        <v>524</v>
      </c>
      <c r="F6" s="3661"/>
      <c r="G6" s="3660" t="s">
        <v>525</v>
      </c>
      <c r="H6" s="3661"/>
      <c r="I6" s="3660" t="s">
        <v>526</v>
      </c>
      <c r="J6" s="3661"/>
      <c r="K6" s="514" t="s">
        <v>527</v>
      </c>
      <c r="L6" s="2134"/>
      <c r="M6" s="2133"/>
      <c r="N6" s="2133"/>
      <c r="O6" s="2135"/>
      <c r="P6" s="3662" t="s">
        <v>528</v>
      </c>
      <c r="Q6" s="3663"/>
      <c r="R6" s="3668" t="s">
        <v>524</v>
      </c>
      <c r="S6" s="3669"/>
      <c r="T6" s="3668" t="s">
        <v>525</v>
      </c>
      <c r="U6" s="3669"/>
      <c r="V6" s="3655" t="s">
        <v>526</v>
      </c>
      <c r="W6" s="3655"/>
      <c r="X6" s="1567"/>
      <c r="Y6" s="3668" t="s">
        <v>528</v>
      </c>
      <c r="Z6" s="3669"/>
      <c r="AA6" s="3657" t="s">
        <v>524</v>
      </c>
      <c r="AB6" s="3658" t="s">
        <v>525</v>
      </c>
      <c r="AC6" s="3657" t="s">
        <v>526</v>
      </c>
    </row>
    <row r="7" spans="1:30" ht="20.25">
      <c r="A7" s="515"/>
      <c r="B7" s="516"/>
      <c r="C7" s="3676" t="s">
        <v>2938</v>
      </c>
      <c r="D7" s="3677"/>
      <c r="E7" s="3676" t="str">
        <f>土地案例!A7</f>
        <v>XDG-2016-28号地块</v>
      </c>
      <c r="F7" s="3677"/>
      <c r="G7" s="3676" t="str">
        <f>土地案例!A19</f>
        <v>XDG-2017-49号地块</v>
      </c>
      <c r="H7" s="3677"/>
      <c r="I7" s="3676" t="str">
        <f>土地案例!A26</f>
        <v>XDG-2017-4号地块</v>
      </c>
      <c r="J7" s="3677"/>
      <c r="K7" s="514"/>
      <c r="L7" s="2134"/>
      <c r="M7" s="2133"/>
      <c r="N7" s="2133"/>
      <c r="O7" s="2135"/>
      <c r="P7" s="3664"/>
      <c r="Q7" s="3665"/>
      <c r="R7" s="3670"/>
      <c r="S7" s="3671"/>
      <c r="T7" s="3670"/>
      <c r="U7" s="3671"/>
      <c r="V7" s="3655"/>
      <c r="W7" s="3655"/>
      <c r="X7" s="1567"/>
      <c r="Y7" s="3670"/>
      <c r="Z7" s="3671"/>
      <c r="AA7" s="3658"/>
      <c r="AB7" s="3658"/>
      <c r="AC7" s="3658"/>
    </row>
    <row r="8" spans="1:30" ht="21" thickBot="1">
      <c r="A8" s="515"/>
      <c r="B8" s="516"/>
      <c r="C8" s="3678" t="s">
        <v>2942</v>
      </c>
      <c r="D8" s="3679"/>
      <c r="E8" s="3678" t="s">
        <v>2942</v>
      </c>
      <c r="F8" s="3679"/>
      <c r="G8" s="3674" t="s">
        <v>2942</v>
      </c>
      <c r="H8" s="3675"/>
      <c r="I8" s="3674" t="s">
        <v>2942</v>
      </c>
      <c r="J8" s="3675"/>
      <c r="K8" s="514" t="s">
        <v>529</v>
      </c>
      <c r="L8" s="2134"/>
      <c r="M8" s="2133"/>
      <c r="N8" s="2133"/>
      <c r="O8" s="2135"/>
      <c r="P8" s="3666"/>
      <c r="Q8" s="3667"/>
      <c r="R8" s="3670"/>
      <c r="S8" s="3671"/>
      <c r="T8" s="3672"/>
      <c r="U8" s="3673"/>
      <c r="V8" s="3655"/>
      <c r="W8" s="3655"/>
      <c r="X8" s="1567"/>
      <c r="Y8" s="3672"/>
      <c r="Z8" s="3673"/>
      <c r="AA8" s="3659"/>
      <c r="AB8" s="3659"/>
      <c r="AC8" s="3659"/>
    </row>
    <row r="9" spans="1:30" s="1220" customFormat="1" ht="21" thickBot="1">
      <c r="A9" s="2938"/>
      <c r="B9" s="2945" t="s">
        <v>530</v>
      </c>
      <c r="C9" s="2937">
        <f>'数据-取费表'!B2</f>
        <v>43167</v>
      </c>
      <c r="D9" s="520">
        <v>100</v>
      </c>
      <c r="E9" s="521" t="str">
        <f>土地案例!H7</f>
        <v>2017-06-05</v>
      </c>
      <c r="F9" s="522">
        <f>SUMIF(72:72,YEAR(E9)&amp;"-"&amp;INT((MONTH(E9)+2)/3),73:73)</f>
        <v>98.5</v>
      </c>
      <c r="G9" s="523" t="str">
        <f>土地案例!H19</f>
        <v>2018-03-06</v>
      </c>
      <c r="H9" s="520">
        <f>SUMIF(72:72,YEAR(G9)&amp;"-"&amp;INT((MONTH(G9)+2)/3),73:73)</f>
        <v>100</v>
      </c>
      <c r="I9" s="523" t="str">
        <f>土地案例!H26</f>
        <v>2017-08-18</v>
      </c>
      <c r="J9" s="520">
        <f>SUMIF(72:72,YEAR(I9)&amp;"-"&amp;INT((MONTH(I9)+2)/3),73:73)</f>
        <v>99</v>
      </c>
      <c r="K9" s="524"/>
      <c r="L9" s="2136"/>
      <c r="M9" s="2133"/>
      <c r="N9" s="2133"/>
      <c r="O9" s="2137"/>
      <c r="P9" s="3685" t="s">
        <v>531</v>
      </c>
      <c r="Q9" s="3687"/>
      <c r="R9" s="1568" t="s">
        <v>8</v>
      </c>
      <c r="S9" s="1569">
        <f t="shared" ref="S9:S17" si="0">F9</f>
        <v>98.5</v>
      </c>
      <c r="T9" s="1568" t="s">
        <v>8</v>
      </c>
      <c r="U9" s="1569">
        <f t="shared" ref="U9:U17" si="1">H9</f>
        <v>100</v>
      </c>
      <c r="V9" s="1568" t="s">
        <v>8</v>
      </c>
      <c r="W9" s="1569">
        <f t="shared" ref="W9:W17" si="2">J9</f>
        <v>99</v>
      </c>
      <c r="X9" s="1570"/>
      <c r="Y9" s="3685" t="s">
        <v>531</v>
      </c>
      <c r="Z9" s="3686"/>
      <c r="AA9" s="1571">
        <f>D9/F9</f>
        <v>1.015228426395939</v>
      </c>
      <c r="AB9" s="1571">
        <f>D9/H9</f>
        <v>1</v>
      </c>
      <c r="AC9" s="1571">
        <f>D9/J9</f>
        <v>1.0101010101010102</v>
      </c>
    </row>
    <row r="10" spans="1:30" s="1220" customFormat="1" ht="21" thickBot="1">
      <c r="A10" s="2939"/>
      <c r="B10" s="2946" t="s">
        <v>532</v>
      </c>
      <c r="C10" s="856" t="s">
        <v>533</v>
      </c>
      <c r="D10" s="520">
        <v>100</v>
      </c>
      <c r="E10" s="525" t="s">
        <v>3301</v>
      </c>
      <c r="F10" s="522">
        <f>SUMIF(75:75,E10,76:76)-SUMIF(75:75,C10,76:76)+100</f>
        <v>100</v>
      </c>
      <c r="G10" s="525" t="s">
        <v>3301</v>
      </c>
      <c r="H10" s="520">
        <f>SUMIF(75:75,G10,76:76)-SUMIF(75:75,C10,76:76)+100</f>
        <v>100</v>
      </c>
      <c r="I10" s="525" t="s">
        <v>3301</v>
      </c>
      <c r="J10" s="520">
        <f>SUMIF(75:75,I10,76:76)-SUMIF(75:75,C10,76:76)+100</f>
        <v>100</v>
      </c>
      <c r="K10" s="524"/>
      <c r="L10" s="2136"/>
      <c r="M10" s="2133"/>
      <c r="N10" s="2133"/>
      <c r="O10" s="2137"/>
      <c r="P10" s="3685" t="s">
        <v>534</v>
      </c>
      <c r="Q10" s="3686"/>
      <c r="R10" s="1568" t="s">
        <v>8</v>
      </c>
      <c r="S10" s="1569">
        <f t="shared" si="0"/>
        <v>100</v>
      </c>
      <c r="T10" s="1568" t="s">
        <v>8</v>
      </c>
      <c r="U10" s="1569">
        <f t="shared" si="1"/>
        <v>100</v>
      </c>
      <c r="V10" s="1568" t="s">
        <v>8</v>
      </c>
      <c r="W10" s="1569">
        <f t="shared" si="2"/>
        <v>100</v>
      </c>
      <c r="X10" s="1570"/>
      <c r="Y10" s="3685" t="s">
        <v>534</v>
      </c>
      <c r="Z10" s="3686"/>
      <c r="AA10" s="1571">
        <f t="shared" ref="AA10:AA47" si="3">D10/F10</f>
        <v>1</v>
      </c>
      <c r="AB10" s="1571">
        <f t="shared" ref="AB10:AB47" si="4">D10/H10</f>
        <v>1</v>
      </c>
      <c r="AC10" s="1571">
        <f t="shared" ref="AC10:AC47" si="5">D10/J10</f>
        <v>1</v>
      </c>
    </row>
    <row r="11" spans="1:30" s="1220" customFormat="1" ht="20.25">
      <c r="A11" s="2940"/>
      <c r="B11" s="2947" t="s">
        <v>2763</v>
      </c>
      <c r="C11" s="2934"/>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654" t="s">
        <v>536</v>
      </c>
      <c r="Q11" s="1151" t="str">
        <f t="shared" ref="Q11:Q17" si="6">B11</f>
        <v>用途</v>
      </c>
      <c r="R11" s="1568" t="s">
        <v>8</v>
      </c>
      <c r="S11" s="1569">
        <f t="shared" si="0"/>
        <v>100</v>
      </c>
      <c r="T11" s="1568" t="s">
        <v>8</v>
      </c>
      <c r="U11" s="1569">
        <f t="shared" si="1"/>
        <v>100</v>
      </c>
      <c r="V11" s="1568" t="s">
        <v>8</v>
      </c>
      <c r="W11" s="1569">
        <f t="shared" si="2"/>
        <v>100</v>
      </c>
      <c r="X11" s="1570"/>
      <c r="Y11" s="3600" t="s">
        <v>537</v>
      </c>
      <c r="Z11" s="1150" t="str">
        <f t="shared" ref="Z11:Z17" si="7">Q11</f>
        <v>用途</v>
      </c>
      <c r="AA11" s="1571">
        <f t="shared" si="3"/>
        <v>1</v>
      </c>
      <c r="AB11" s="1571">
        <f t="shared" si="4"/>
        <v>1</v>
      </c>
      <c r="AC11" s="1571">
        <f t="shared" si="5"/>
        <v>1</v>
      </c>
    </row>
    <row r="12" spans="1:30" s="1338" customFormat="1" ht="27">
      <c r="A12" s="2941"/>
      <c r="B12" s="2946" t="s">
        <v>2764</v>
      </c>
      <c r="C12" s="910"/>
      <c r="D12" s="255">
        <v>100</v>
      </c>
      <c r="E12" s="529"/>
      <c r="F12" s="255">
        <f>ROUND(100/'数据-取费表'!G16,0)</f>
        <v>103</v>
      </c>
      <c r="G12" s="530"/>
      <c r="H12" s="255">
        <f>ROUND(100/'数据-取费表'!G16,0)</f>
        <v>103</v>
      </c>
      <c r="I12" s="530"/>
      <c r="J12" s="255">
        <f>ROUND(100/'数据-取费表'!G16,0)</f>
        <v>103</v>
      </c>
      <c r="K12" s="531"/>
      <c r="L12" s="2139"/>
      <c r="M12" s="2133"/>
      <c r="N12" s="2133"/>
      <c r="O12" s="2140"/>
      <c r="P12" s="3654"/>
      <c r="Q12" s="1151" t="str">
        <f t="shared" si="6"/>
        <v>土地使用年限（年）</v>
      </c>
      <c r="R12" s="1568" t="s">
        <v>8</v>
      </c>
      <c r="S12" s="1569">
        <f t="shared" si="0"/>
        <v>103</v>
      </c>
      <c r="T12" s="1568" t="s">
        <v>8</v>
      </c>
      <c r="U12" s="1569">
        <f t="shared" si="1"/>
        <v>103</v>
      </c>
      <c r="V12" s="1568" t="s">
        <v>8</v>
      </c>
      <c r="W12" s="1569">
        <f t="shared" si="2"/>
        <v>103</v>
      </c>
      <c r="X12" s="1570"/>
      <c r="Y12" s="3600"/>
      <c r="Z12" s="1150" t="str">
        <f t="shared" si="7"/>
        <v>土地使用年限（年）</v>
      </c>
      <c r="AA12" s="1571">
        <f t="shared" si="3"/>
        <v>0.970873786407767</v>
      </c>
      <c r="AB12" s="1571">
        <f t="shared" si="4"/>
        <v>0.970873786407767</v>
      </c>
      <c r="AC12" s="1571">
        <f t="shared" si="5"/>
        <v>0.970873786407767</v>
      </c>
    </row>
    <row r="13" spans="1:30" ht="20.25">
      <c r="A13" s="2942"/>
      <c r="B13" s="2946" t="s">
        <v>2765</v>
      </c>
      <c r="C13" s="534">
        <f>'数据-汇总表'!I7</f>
        <v>5.57</v>
      </c>
      <c r="D13" s="255">
        <v>100</v>
      </c>
      <c r="E13" s="533">
        <f>土地案例!F7</f>
        <v>1.2</v>
      </c>
      <c r="F13" s="255">
        <f>LOOKUP(E13,82:82,83:83)-LOOKUP(C13,82:82,83:83)+100</f>
        <v>108</v>
      </c>
      <c r="G13" s="534">
        <f>土地案例!F19</f>
        <v>2</v>
      </c>
      <c r="H13" s="255">
        <f>LOOKUP(G13,82:82,83:83)-LOOKUP(C13,82:82,83:83)+100</f>
        <v>106</v>
      </c>
      <c r="I13" s="533">
        <f>土地案例!F26</f>
        <v>2.5</v>
      </c>
      <c r="J13" s="255">
        <f>LOOKUP(I13,82:82,83:83)-LOOKUP(C13,82:82,83:83)+100</f>
        <v>106</v>
      </c>
      <c r="K13" s="535">
        <v>2</v>
      </c>
      <c r="L13" s="2141"/>
      <c r="M13" s="2133"/>
      <c r="N13" s="2133"/>
      <c r="O13" s="2142"/>
      <c r="P13" s="3654"/>
      <c r="Q13" s="1151" t="str">
        <f t="shared" si="6"/>
        <v>容积率</v>
      </c>
      <c r="R13" s="1568" t="s">
        <v>8</v>
      </c>
      <c r="S13" s="1569">
        <f t="shared" si="0"/>
        <v>108</v>
      </c>
      <c r="T13" s="1568" t="s">
        <v>8</v>
      </c>
      <c r="U13" s="1569">
        <f t="shared" si="1"/>
        <v>106</v>
      </c>
      <c r="V13" s="1568" t="s">
        <v>8</v>
      </c>
      <c r="W13" s="1569">
        <f t="shared" si="2"/>
        <v>106</v>
      </c>
      <c r="X13" s="1570"/>
      <c r="Y13" s="3600"/>
      <c r="Z13" s="1150" t="str">
        <f t="shared" si="7"/>
        <v>容积率</v>
      </c>
      <c r="AA13" s="1571">
        <f t="shared" si="3"/>
        <v>0.92592592592592593</v>
      </c>
      <c r="AB13" s="1571">
        <f t="shared" si="4"/>
        <v>0.94339622641509435</v>
      </c>
      <c r="AC13" s="1571">
        <f t="shared" si="5"/>
        <v>0.94339622641509435</v>
      </c>
    </row>
    <row r="14" spans="1:30" s="1220" customFormat="1" ht="20.25">
      <c r="A14" s="2939"/>
      <c r="B14" s="2948" t="s">
        <v>2766</v>
      </c>
      <c r="C14" s="2935"/>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654"/>
      <c r="Q14" s="1151" t="str">
        <f t="shared" si="6"/>
        <v>配建</v>
      </c>
      <c r="R14" s="1568" t="s">
        <v>8</v>
      </c>
      <c r="S14" s="1569">
        <f t="shared" si="0"/>
        <v>100</v>
      </c>
      <c r="T14" s="1568" t="s">
        <v>8</v>
      </c>
      <c r="U14" s="1569">
        <f t="shared" si="1"/>
        <v>100</v>
      </c>
      <c r="V14" s="1568" t="s">
        <v>8</v>
      </c>
      <c r="W14" s="1569">
        <f t="shared" si="2"/>
        <v>100</v>
      </c>
      <c r="X14" s="1570"/>
      <c r="Y14" s="3600"/>
      <c r="Z14" s="1150" t="str">
        <f t="shared" si="7"/>
        <v>配建</v>
      </c>
      <c r="AA14" s="1571">
        <f>D14/F14</f>
        <v>1</v>
      </c>
      <c r="AB14" s="1571">
        <f>D14/H14</f>
        <v>1</v>
      </c>
      <c r="AC14" s="1571">
        <f>D14/J14</f>
        <v>1</v>
      </c>
    </row>
    <row r="15" spans="1:30" ht="20.25">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654"/>
      <c r="Q15" s="1151">
        <f t="shared" si="6"/>
        <v>111</v>
      </c>
      <c r="R15" s="1568" t="s">
        <v>8</v>
      </c>
      <c r="S15" s="1569">
        <f t="shared" si="0"/>
        <v>100</v>
      </c>
      <c r="T15" s="1568" t="s">
        <v>8</v>
      </c>
      <c r="U15" s="1569">
        <f t="shared" si="1"/>
        <v>100</v>
      </c>
      <c r="V15" s="1568" t="s">
        <v>8</v>
      </c>
      <c r="W15" s="1569">
        <f t="shared" si="2"/>
        <v>100</v>
      </c>
      <c r="X15" s="1570"/>
      <c r="Y15" s="3600"/>
      <c r="Z15" s="1150">
        <f t="shared" si="7"/>
        <v>111</v>
      </c>
      <c r="AA15" s="1571">
        <f>D15/F15</f>
        <v>1</v>
      </c>
      <c r="AB15" s="1571">
        <f>D15/H15</f>
        <v>1</v>
      </c>
      <c r="AC15" s="1571">
        <f>D15/J15</f>
        <v>1</v>
      </c>
    </row>
    <row r="16" spans="1:30" ht="2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654"/>
      <c r="Q16" s="1151">
        <f t="shared" si="6"/>
        <v>111</v>
      </c>
      <c r="R16" s="1568" t="s">
        <v>8</v>
      </c>
      <c r="S16" s="1569">
        <f t="shared" si="0"/>
        <v>100</v>
      </c>
      <c r="T16" s="1568" t="s">
        <v>8</v>
      </c>
      <c r="U16" s="1569">
        <f t="shared" si="1"/>
        <v>100</v>
      </c>
      <c r="V16" s="1568" t="s">
        <v>8</v>
      </c>
      <c r="W16" s="1569">
        <f t="shared" si="2"/>
        <v>100</v>
      </c>
      <c r="X16" s="1570"/>
      <c r="Y16" s="3600"/>
      <c r="Z16" s="1150">
        <f t="shared" si="7"/>
        <v>111</v>
      </c>
      <c r="AA16" s="1571">
        <f>D16/F16</f>
        <v>1</v>
      </c>
      <c r="AB16" s="1571">
        <f>D16/H16</f>
        <v>1</v>
      </c>
      <c r="AC16" s="1571">
        <f>D16/J16</f>
        <v>1</v>
      </c>
    </row>
    <row r="17" spans="1:29" ht="99.75">
      <c r="A17" s="2936" t="s">
        <v>2761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688" t="s">
        <v>541</v>
      </c>
      <c r="Q17" s="1572" t="str">
        <f t="shared" si="6"/>
        <v>居住社区成熟度</v>
      </c>
      <c r="R17" s="1573" t="s">
        <v>8</v>
      </c>
      <c r="S17" s="1574">
        <f t="shared" si="0"/>
        <v>100</v>
      </c>
      <c r="T17" s="1573" t="s">
        <v>8</v>
      </c>
      <c r="U17" s="1574">
        <f t="shared" si="1"/>
        <v>100</v>
      </c>
      <c r="V17" s="1573" t="s">
        <v>8</v>
      </c>
      <c r="W17" s="1574">
        <f t="shared" si="2"/>
        <v>100</v>
      </c>
      <c r="X17" s="1567"/>
      <c r="Y17" s="3688" t="s">
        <v>541</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689"/>
      <c r="Q18" s="1572"/>
      <c r="R18" s="1573"/>
      <c r="S18" s="1574"/>
      <c r="T18" s="1573"/>
      <c r="U18" s="1574"/>
      <c r="V18" s="1573"/>
      <c r="W18" s="1574"/>
      <c r="X18" s="1567"/>
      <c r="Y18" s="3689"/>
      <c r="Z18" s="1575"/>
      <c r="AA18" s="1576">
        <v>1</v>
      </c>
      <c r="AB18" s="1576">
        <v>1</v>
      </c>
      <c r="AC18" s="1576">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102</v>
      </c>
      <c r="K19" s="535">
        <v>2</v>
      </c>
      <c r="L19" s="2143"/>
      <c r="M19" s="2133"/>
      <c r="N19" s="2133"/>
      <c r="O19" s="2142"/>
      <c r="P19" s="3689"/>
      <c r="Q19" s="1572" t="str">
        <f>B19</f>
        <v>商业繁华度</v>
      </c>
      <c r="R19" s="1573" t="s">
        <v>8</v>
      </c>
      <c r="S19" s="1574">
        <f>F19</f>
        <v>100</v>
      </c>
      <c r="T19" s="1573" t="s">
        <v>8</v>
      </c>
      <c r="U19" s="1574">
        <f>H19</f>
        <v>100</v>
      </c>
      <c r="V19" s="1573" t="s">
        <v>8</v>
      </c>
      <c r="W19" s="1574">
        <f>J19</f>
        <v>102</v>
      </c>
      <c r="X19" s="1567"/>
      <c r="Y19" s="3689"/>
      <c r="Z19" s="1575" t="str">
        <f>Q19</f>
        <v>商业繁华度</v>
      </c>
      <c r="AA19" s="1576">
        <f t="shared" si="3"/>
        <v>1</v>
      </c>
      <c r="AB19" s="1576">
        <f t="shared" si="4"/>
        <v>1</v>
      </c>
      <c r="AC19" s="1576">
        <f t="shared" si="5"/>
        <v>0.98039215686274506</v>
      </c>
    </row>
    <row r="20" spans="1:29" ht="20.25">
      <c r="A20" s="532"/>
      <c r="B20" s="566"/>
      <c r="C20" s="567" t="s">
        <v>3303</v>
      </c>
      <c r="D20" s="563"/>
      <c r="E20" s="569" t="s">
        <v>3303</v>
      </c>
      <c r="F20" s="559"/>
      <c r="G20" s="568" t="s">
        <v>3303</v>
      </c>
      <c r="H20" s="555"/>
      <c r="I20" s="569" t="s">
        <v>3304</v>
      </c>
      <c r="J20" s="555"/>
      <c r="K20" s="531"/>
      <c r="L20" s="2143"/>
      <c r="M20" s="2133"/>
      <c r="N20" s="2133"/>
      <c r="O20" s="2142"/>
      <c r="P20" s="3689"/>
      <c r="Q20" s="1572"/>
      <c r="R20" s="1573"/>
      <c r="S20" s="1574"/>
      <c r="T20" s="1573"/>
      <c r="U20" s="1574"/>
      <c r="V20" s="1573"/>
      <c r="W20" s="1574"/>
      <c r="X20" s="1567"/>
      <c r="Y20" s="3689"/>
      <c r="Z20" s="1575"/>
      <c r="AA20" s="1576">
        <v>1</v>
      </c>
      <c r="AB20" s="1576">
        <v>1</v>
      </c>
      <c r="AC20" s="1576">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689"/>
      <c r="Q21" s="1572" t="str">
        <f>B21</f>
        <v>办公集聚程度</v>
      </c>
      <c r="R21" s="1573" t="s">
        <v>8</v>
      </c>
      <c r="S21" s="1574">
        <f>F21</f>
        <v>100</v>
      </c>
      <c r="T21" s="1573" t="s">
        <v>8</v>
      </c>
      <c r="U21" s="1574">
        <f>H21</f>
        <v>100</v>
      </c>
      <c r="V21" s="1573" t="s">
        <v>8</v>
      </c>
      <c r="W21" s="1574">
        <f>J21</f>
        <v>100</v>
      </c>
      <c r="X21" s="1567"/>
      <c r="Y21" s="3689"/>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689"/>
      <c r="Q22" s="1572"/>
      <c r="R22" s="1573"/>
      <c r="S22" s="1574"/>
      <c r="T22" s="1573"/>
      <c r="U22" s="1574"/>
      <c r="V22" s="1573"/>
      <c r="W22" s="1574"/>
      <c r="X22" s="1567"/>
      <c r="Y22" s="3689"/>
      <c r="Z22" s="1575"/>
      <c r="AA22" s="1576">
        <v>1</v>
      </c>
      <c r="AB22" s="1576">
        <v>1</v>
      </c>
      <c r="AC22" s="1576">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689"/>
      <c r="Q23" s="1572" t="str">
        <f>B23</f>
        <v>交通便捷度</v>
      </c>
      <c r="R23" s="1573" t="s">
        <v>8</v>
      </c>
      <c r="S23" s="1574">
        <f>F23</f>
        <v>100</v>
      </c>
      <c r="T23" s="1573" t="s">
        <v>8</v>
      </c>
      <c r="U23" s="1574">
        <f>H23</f>
        <v>100</v>
      </c>
      <c r="V23" s="1573" t="s">
        <v>8</v>
      </c>
      <c r="W23" s="1574">
        <f>J23</f>
        <v>100</v>
      </c>
      <c r="X23" s="1567"/>
      <c r="Y23" s="3689"/>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3"/>
      <c r="M24" s="2133"/>
      <c r="N24" s="2133"/>
      <c r="O24" s="2142"/>
      <c r="P24" s="3689"/>
      <c r="Q24" s="1572"/>
      <c r="R24" s="1573"/>
      <c r="S24" s="1574"/>
      <c r="T24" s="1573"/>
      <c r="U24" s="1574"/>
      <c r="V24" s="1573"/>
      <c r="W24" s="1574"/>
      <c r="X24" s="1567"/>
      <c r="Y24" s="3689"/>
      <c r="Z24" s="1575"/>
      <c r="AA24" s="1576">
        <v>1</v>
      </c>
      <c r="AB24" s="1576">
        <v>1</v>
      </c>
      <c r="AC24" s="1576">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689"/>
      <c r="Q25" s="1572" t="str">
        <f t="shared" ref="Q25:Q39" si="8">B25</f>
        <v>区域土地利用方向</v>
      </c>
      <c r="R25" s="1573" t="s">
        <v>8</v>
      </c>
      <c r="S25" s="1574">
        <f>F25</f>
        <v>100</v>
      </c>
      <c r="T25" s="1573" t="s">
        <v>8</v>
      </c>
      <c r="U25" s="1574">
        <f>H25</f>
        <v>100</v>
      </c>
      <c r="V25" s="1573" t="s">
        <v>8</v>
      </c>
      <c r="W25" s="1574">
        <f>J25</f>
        <v>100</v>
      </c>
      <c r="X25" s="1567"/>
      <c r="Y25" s="3689"/>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3"/>
      <c r="M26" s="2133"/>
      <c r="N26" s="2133"/>
      <c r="O26" s="2142"/>
      <c r="P26" s="3689"/>
      <c r="Q26" s="1572"/>
      <c r="R26" s="1573"/>
      <c r="S26" s="1574"/>
      <c r="T26" s="1573"/>
      <c r="U26" s="1574"/>
      <c r="V26" s="1573"/>
      <c r="W26" s="1574"/>
      <c r="X26" s="1567"/>
      <c r="Y26" s="3689"/>
      <c r="Z26" s="1575"/>
      <c r="AA26" s="1576"/>
      <c r="AB26" s="1576"/>
      <c r="AC26" s="1576"/>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689"/>
      <c r="Q27" s="1572" t="str">
        <f t="shared" si="8"/>
        <v>自然及人文环境状况</v>
      </c>
      <c r="R27" s="1573" t="s">
        <v>8</v>
      </c>
      <c r="S27" s="1574">
        <f>F27</f>
        <v>100</v>
      </c>
      <c r="T27" s="1573" t="s">
        <v>8</v>
      </c>
      <c r="U27" s="1574">
        <f>H27</f>
        <v>100</v>
      </c>
      <c r="V27" s="1573" t="s">
        <v>8</v>
      </c>
      <c r="W27" s="1574">
        <f>J27</f>
        <v>100</v>
      </c>
      <c r="X27" s="1567"/>
      <c r="Y27" s="3689"/>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3"/>
      <c r="M28" s="2133"/>
      <c r="N28" s="2133"/>
      <c r="O28" s="2142"/>
      <c r="P28" s="3689"/>
      <c r="Q28" s="1572"/>
      <c r="R28" s="1573"/>
      <c r="S28" s="1574"/>
      <c r="T28" s="1573"/>
      <c r="U28" s="1574"/>
      <c r="V28" s="1573"/>
      <c r="W28" s="1574"/>
      <c r="X28" s="1567"/>
      <c r="Y28" s="3689"/>
      <c r="Z28" s="1575"/>
      <c r="AA28" s="1576">
        <v>1</v>
      </c>
      <c r="AB28" s="1576">
        <v>1</v>
      </c>
      <c r="AC28" s="1576">
        <v>1</v>
      </c>
    </row>
    <row r="29" spans="1:29" s="1220" customFormat="1" ht="42.75">
      <c r="A29" s="577"/>
      <c r="B29" s="2616" t="s">
        <v>2555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689"/>
      <c r="Q29" s="1151" t="str">
        <f t="shared" si="8"/>
        <v>公共配套设施</v>
      </c>
      <c r="R29" s="1568" t="s">
        <v>8</v>
      </c>
      <c r="S29" s="1569">
        <f>F29</f>
        <v>100</v>
      </c>
      <c r="T29" s="1568" t="s">
        <v>8</v>
      </c>
      <c r="U29" s="1569">
        <f>H29</f>
        <v>100</v>
      </c>
      <c r="V29" s="1568" t="s">
        <v>8</v>
      </c>
      <c r="W29" s="1569">
        <f>J29</f>
        <v>100</v>
      </c>
      <c r="X29" s="1570"/>
      <c r="Y29" s="3689"/>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6"/>
      <c r="M30" s="2133"/>
      <c r="N30" s="2133"/>
      <c r="O30" s="2138"/>
      <c r="P30" s="3689"/>
      <c r="Q30" s="1151"/>
      <c r="R30" s="1568"/>
      <c r="S30" s="1569"/>
      <c r="T30" s="1568"/>
      <c r="U30" s="1569"/>
      <c r="V30" s="1568"/>
      <c r="W30" s="1569"/>
      <c r="X30" s="1570"/>
      <c r="Y30" s="3689"/>
      <c r="Z30" s="1150"/>
      <c r="AA30" s="1576">
        <v>1</v>
      </c>
      <c r="AB30" s="1576">
        <v>1</v>
      </c>
      <c r="AC30" s="1576">
        <v>1</v>
      </c>
    </row>
    <row r="31" spans="1:29" s="1220" customFormat="1" ht="28.5">
      <c r="A31" s="577"/>
      <c r="B31" s="2616" t="s">
        <v>2556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689"/>
      <c r="Q31" s="2603" t="str">
        <f t="shared" ref="Q31" si="9">B31</f>
        <v>基础设施水平</v>
      </c>
      <c r="R31" s="1568" t="s">
        <v>8</v>
      </c>
      <c r="S31" s="1569">
        <f>F31</f>
        <v>100</v>
      </c>
      <c r="T31" s="1568" t="s">
        <v>8</v>
      </c>
      <c r="U31" s="1569">
        <f>H31</f>
        <v>100</v>
      </c>
      <c r="V31" s="1568" t="s">
        <v>8</v>
      </c>
      <c r="W31" s="1569">
        <f>J31</f>
        <v>100</v>
      </c>
      <c r="X31" s="1570"/>
      <c r="Y31" s="3689"/>
      <c r="Z31" s="2600" t="str">
        <f>Q31</f>
        <v>基础设施水平</v>
      </c>
      <c r="AA31" s="1576">
        <f>D31/F31</f>
        <v>1</v>
      </c>
      <c r="AB31" s="1576">
        <f>D31/H31</f>
        <v>1</v>
      </c>
      <c r="AC31" s="1576">
        <f>D31/J31</f>
        <v>1</v>
      </c>
    </row>
    <row r="32" spans="1:29" s="1220" customFormat="1" ht="20.25">
      <c r="A32" s="577"/>
      <c r="B32" s="566"/>
      <c r="C32" s="579"/>
      <c r="D32" s="557"/>
      <c r="E32" s="2617"/>
      <c r="F32" s="555"/>
      <c r="G32" s="579"/>
      <c r="H32" s="555"/>
      <c r="I32" s="579"/>
      <c r="J32" s="555"/>
      <c r="K32" s="531"/>
      <c r="L32" s="2136"/>
      <c r="M32" s="2133"/>
      <c r="N32" s="2133"/>
      <c r="O32" s="2138"/>
      <c r="P32" s="3689"/>
      <c r="Q32" s="2603"/>
      <c r="R32" s="1568"/>
      <c r="S32" s="1569"/>
      <c r="T32" s="1568"/>
      <c r="U32" s="1569"/>
      <c r="V32" s="1568"/>
      <c r="W32" s="1569"/>
      <c r="X32" s="1570"/>
      <c r="Y32" s="3689"/>
      <c r="Z32" s="2600"/>
      <c r="AA32" s="1576">
        <v>1</v>
      </c>
      <c r="AB32" s="1576">
        <v>1</v>
      </c>
      <c r="AC32" s="1576">
        <v>1</v>
      </c>
    </row>
    <row r="33" spans="1:29" ht="20.25">
      <c r="A33" s="532"/>
      <c r="B33" s="566" t="s">
        <v>548</v>
      </c>
      <c r="C33" s="580" t="s">
        <v>3313</v>
      </c>
      <c r="D33" s="575">
        <v>100</v>
      </c>
      <c r="E33" s="583" t="s">
        <v>3314</v>
      </c>
      <c r="F33" s="540">
        <f>SUMIF(106:106,E33,107:107)-SUMIF(106:106,C33,107:107)+100</f>
        <v>98</v>
      </c>
      <c r="G33" s="580" t="s">
        <v>3314</v>
      </c>
      <c r="H33" s="540">
        <f>SUMIF(106:106,G33,107:107)-SUMIF(106:106,C33,107:107)+100</f>
        <v>98</v>
      </c>
      <c r="I33" s="580" t="s">
        <v>3314</v>
      </c>
      <c r="J33" s="540">
        <f>SUMIF(106:106,I33,107:107)-SUMIF(106:106,C33,107:107)+100</f>
        <v>98</v>
      </c>
      <c r="K33" s="535">
        <v>2</v>
      </c>
      <c r="L33" s="2143"/>
      <c r="M33" s="2133"/>
      <c r="N33" s="2133"/>
      <c r="O33" s="2142"/>
      <c r="P33" s="3689"/>
      <c r="Q33" s="1572" t="str">
        <f t="shared" si="8"/>
        <v>临街状况</v>
      </c>
      <c r="R33" s="1573" t="s">
        <v>8</v>
      </c>
      <c r="S33" s="1574">
        <f t="shared" ref="S33:S47" si="10">F33</f>
        <v>98</v>
      </c>
      <c r="T33" s="1573" t="s">
        <v>8</v>
      </c>
      <c r="U33" s="1574">
        <f t="shared" ref="U33:U47" si="11">H33</f>
        <v>98</v>
      </c>
      <c r="V33" s="1573" t="s">
        <v>8</v>
      </c>
      <c r="W33" s="1574">
        <f t="shared" ref="W33:W47" si="12">J33</f>
        <v>98</v>
      </c>
      <c r="X33" s="1567"/>
      <c r="Y33" s="3689"/>
      <c r="Z33" s="1575" t="str">
        <f t="shared" ref="Z33:Z47" si="13">Q33</f>
        <v>临街状况</v>
      </c>
      <c r="AA33" s="1576">
        <f t="shared" si="3"/>
        <v>1.0204081632653061</v>
      </c>
      <c r="AB33" s="1576">
        <f t="shared" si="4"/>
        <v>1.0204081632653061</v>
      </c>
      <c r="AC33" s="1576">
        <f t="shared" si="5"/>
        <v>1.0204081632653061</v>
      </c>
    </row>
    <row r="34" spans="1:29" ht="27">
      <c r="A34" s="532"/>
      <c r="B34" s="578" t="s">
        <v>549</v>
      </c>
      <c r="C34" s="562"/>
      <c r="D34" s="563">
        <v>100</v>
      </c>
      <c r="E34" s="564"/>
      <c r="F34" s="559">
        <f>SUMIF(108:108,E35,109:109)-SUMIF(108:108,C35,109:109)+100</f>
        <v>96</v>
      </c>
      <c r="G34" s="562"/>
      <c r="H34" s="559">
        <f>SUMIF(108:108,G35,109:109)-SUMIF(108:108,C35,109:109)+100</f>
        <v>98</v>
      </c>
      <c r="I34" s="564"/>
      <c r="J34" s="559">
        <f>SUMIF(108:108,I35,109:109)-SUMIF(108:108,C35,109:109)+100</f>
        <v>102</v>
      </c>
      <c r="K34" s="535">
        <v>2</v>
      </c>
      <c r="L34" s="2143"/>
      <c r="M34" s="2133"/>
      <c r="N34" s="2133"/>
      <c r="O34" s="2142"/>
      <c r="P34" s="3689"/>
      <c r="Q34" s="1572" t="str">
        <f t="shared" si="8"/>
        <v>毗邻道路的类型与等级</v>
      </c>
      <c r="R34" s="1573" t="s">
        <v>8</v>
      </c>
      <c r="S34" s="1574">
        <f t="shared" si="10"/>
        <v>96</v>
      </c>
      <c r="T34" s="1573" t="s">
        <v>8</v>
      </c>
      <c r="U34" s="1574">
        <f t="shared" si="11"/>
        <v>98</v>
      </c>
      <c r="V34" s="1573" t="s">
        <v>8</v>
      </c>
      <c r="W34" s="1574">
        <f t="shared" si="12"/>
        <v>102</v>
      </c>
      <c r="X34" s="1567"/>
      <c r="Y34" s="3689"/>
      <c r="Z34" s="1575" t="str">
        <f t="shared" si="13"/>
        <v>毗邻道路的类型与等级</v>
      </c>
      <c r="AA34" s="1576">
        <f t="shared" si="3"/>
        <v>1.0416666666666667</v>
      </c>
      <c r="AB34" s="1576">
        <f t="shared" si="4"/>
        <v>1.0204081632653061</v>
      </c>
      <c r="AC34" s="1576">
        <f t="shared" si="5"/>
        <v>0.98039215686274506</v>
      </c>
    </row>
    <row r="35" spans="1:29" ht="20.25">
      <c r="A35" s="532"/>
      <c r="B35" s="566"/>
      <c r="C35" s="554" t="s">
        <v>3305</v>
      </c>
      <c r="D35" s="557"/>
      <c r="E35" s="576" t="s">
        <v>3308</v>
      </c>
      <c r="F35" s="555"/>
      <c r="G35" s="554" t="s">
        <v>3306</v>
      </c>
      <c r="H35" s="555"/>
      <c r="I35" s="576" t="s">
        <v>3310</v>
      </c>
      <c r="J35" s="555"/>
      <c r="K35" s="581"/>
      <c r="L35" s="2143"/>
      <c r="M35" s="2133"/>
      <c r="N35" s="2133"/>
      <c r="O35" s="2142"/>
      <c r="P35" s="3689"/>
      <c r="Q35" s="1572"/>
      <c r="R35" s="1573"/>
      <c r="S35" s="1574"/>
      <c r="T35" s="1573"/>
      <c r="U35" s="1574"/>
      <c r="V35" s="1573"/>
      <c r="W35" s="1574"/>
      <c r="X35" s="1567"/>
      <c r="Y35" s="3689"/>
      <c r="Z35" s="1575"/>
      <c r="AA35" s="1576">
        <v>1</v>
      </c>
      <c r="AB35" s="1576">
        <v>1</v>
      </c>
      <c r="AC35" s="1576">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689"/>
      <c r="Q36" s="1572" t="str">
        <f t="shared" si="8"/>
        <v>土地级别</v>
      </c>
      <c r="R36" s="1573" t="s">
        <v>8</v>
      </c>
      <c r="S36" s="1574">
        <f t="shared" si="10"/>
        <v>100</v>
      </c>
      <c r="T36" s="1573" t="s">
        <v>8</v>
      </c>
      <c r="U36" s="1574">
        <f t="shared" si="11"/>
        <v>100</v>
      </c>
      <c r="V36" s="1573" t="s">
        <v>8</v>
      </c>
      <c r="W36" s="1574">
        <f t="shared" si="12"/>
        <v>100</v>
      </c>
      <c r="X36" s="1567"/>
      <c r="Y36" s="3689"/>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689"/>
      <c r="Q37" s="1572">
        <f t="shared" si="8"/>
        <v>111</v>
      </c>
      <c r="R37" s="1573" t="s">
        <v>8</v>
      </c>
      <c r="S37" s="1574">
        <f t="shared" si="10"/>
        <v>100</v>
      </c>
      <c r="T37" s="1573" t="s">
        <v>8</v>
      </c>
      <c r="U37" s="1574">
        <f t="shared" si="11"/>
        <v>100</v>
      </c>
      <c r="V37" s="1573" t="s">
        <v>8</v>
      </c>
      <c r="W37" s="1574">
        <f t="shared" si="12"/>
        <v>100</v>
      </c>
      <c r="X37" s="1567"/>
      <c r="Y37" s="3689"/>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690" t="s">
        <v>551</v>
      </c>
      <c r="Q38" s="1572">
        <f t="shared" si="8"/>
        <v>111</v>
      </c>
      <c r="R38" s="1573" t="s">
        <v>8</v>
      </c>
      <c r="S38" s="1574">
        <f t="shared" si="10"/>
        <v>100</v>
      </c>
      <c r="T38" s="1573" t="s">
        <v>8</v>
      </c>
      <c r="U38" s="1574">
        <f t="shared" si="11"/>
        <v>100</v>
      </c>
      <c r="V38" s="1573" t="s">
        <v>8</v>
      </c>
      <c r="W38" s="1574">
        <f t="shared" si="12"/>
        <v>100</v>
      </c>
      <c r="X38" s="1567"/>
      <c r="Y38" s="3691" t="s">
        <v>551</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691"/>
      <c r="Q39" s="1572">
        <f t="shared" si="8"/>
        <v>111</v>
      </c>
      <c r="R39" s="1577" t="s">
        <v>8</v>
      </c>
      <c r="S39" s="1578">
        <f t="shared" si="10"/>
        <v>100</v>
      </c>
      <c r="T39" s="1577" t="s">
        <v>8</v>
      </c>
      <c r="U39" s="1578">
        <f t="shared" si="11"/>
        <v>100</v>
      </c>
      <c r="V39" s="1577" t="s">
        <v>8</v>
      </c>
      <c r="W39" s="1578">
        <f t="shared" si="12"/>
        <v>100</v>
      </c>
      <c r="X39" s="1579"/>
      <c r="Y39" s="3691"/>
      <c r="Z39" s="1580">
        <f t="shared" si="13"/>
        <v>111</v>
      </c>
      <c r="AA39" s="1576">
        <f t="shared" si="3"/>
        <v>1</v>
      </c>
      <c r="AB39" s="1576">
        <f t="shared" si="4"/>
        <v>1</v>
      </c>
      <c r="AC39" s="1576">
        <f t="shared" si="5"/>
        <v>1</v>
      </c>
    </row>
    <row r="40" spans="1:29" ht="20.25">
      <c r="A40" s="2933" t="s">
        <v>2762</v>
      </c>
      <c r="B40" s="595" t="s">
        <v>553</v>
      </c>
      <c r="C40" s="596">
        <f>'数据-基础表'!A3</f>
        <v>69347.5</v>
      </c>
      <c r="D40" s="597">
        <v>100</v>
      </c>
      <c r="E40" s="596">
        <f>土地案例!D7</f>
        <v>23581.5</v>
      </c>
      <c r="F40" s="597">
        <f>LOOKUP(E40,119:119,120:120)-LOOKUP(C40,119:119,120:120)+100</f>
        <v>96</v>
      </c>
      <c r="G40" s="596">
        <f>土地案例!D19</f>
        <v>17452.599999999999</v>
      </c>
      <c r="H40" s="597">
        <f>LOOKUP(G40,119:119,120:120)-LOOKUP(C40,119:119,120:120)+100</f>
        <v>94</v>
      </c>
      <c r="I40" s="598">
        <f>土地案例!D26</f>
        <v>39629</v>
      </c>
      <c r="J40" s="597">
        <f>LOOKUP(I40,119:119,120:120)-LOOKUP(C40,119:119,120:120)+100</f>
        <v>96</v>
      </c>
      <c r="K40" s="581"/>
      <c r="L40" s="2143"/>
      <c r="M40" s="2133"/>
      <c r="N40" s="2133"/>
      <c r="O40" s="2142"/>
      <c r="P40" s="3691"/>
      <c r="Q40" s="1572" t="str">
        <f>B40</f>
        <v>宗地面积</v>
      </c>
      <c r="R40" s="1573" t="s">
        <v>8</v>
      </c>
      <c r="S40" s="1574">
        <f t="shared" si="10"/>
        <v>96</v>
      </c>
      <c r="T40" s="1573" t="s">
        <v>8</v>
      </c>
      <c r="U40" s="1574">
        <f t="shared" si="11"/>
        <v>94</v>
      </c>
      <c r="V40" s="1573" t="s">
        <v>8</v>
      </c>
      <c r="W40" s="1574">
        <f t="shared" si="12"/>
        <v>96</v>
      </c>
      <c r="X40" s="1567"/>
      <c r="Y40" s="3691"/>
      <c r="Z40" s="1575" t="str">
        <f t="shared" si="13"/>
        <v>宗地面积</v>
      </c>
      <c r="AA40" s="1576">
        <f t="shared" si="3"/>
        <v>1.0416666666666667</v>
      </c>
      <c r="AB40" s="1576">
        <f t="shared" si="4"/>
        <v>1.0638297872340425</v>
      </c>
      <c r="AC40" s="1576">
        <f t="shared" si="5"/>
        <v>1.0416666666666667</v>
      </c>
    </row>
    <row r="41" spans="1:29" ht="20.25">
      <c r="A41" s="594"/>
      <c r="B41" s="527" t="s">
        <v>554</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691"/>
      <c r="Q41" s="1572" t="str">
        <f t="shared" ref="Q41:Q47" si="14">B41</f>
        <v>宗地形状</v>
      </c>
      <c r="R41" s="1573" t="s">
        <v>8</v>
      </c>
      <c r="S41" s="1574">
        <f t="shared" si="10"/>
        <v>100</v>
      </c>
      <c r="T41" s="1573" t="s">
        <v>8</v>
      </c>
      <c r="U41" s="1574">
        <f t="shared" si="11"/>
        <v>100</v>
      </c>
      <c r="V41" s="1573" t="s">
        <v>8</v>
      </c>
      <c r="W41" s="1574">
        <f t="shared" si="12"/>
        <v>100</v>
      </c>
      <c r="X41" s="1567"/>
      <c r="Y41" s="3691"/>
      <c r="Z41" s="1575" t="str">
        <f t="shared" si="13"/>
        <v>宗地形状</v>
      </c>
      <c r="AA41" s="1576">
        <f t="shared" si="3"/>
        <v>1</v>
      </c>
      <c r="AB41" s="1576">
        <f t="shared" si="4"/>
        <v>1</v>
      </c>
      <c r="AC41" s="1576">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691"/>
      <c r="Q42" s="1572" t="str">
        <f t="shared" si="14"/>
        <v>临街宽度及深度</v>
      </c>
      <c r="R42" s="1573" t="s">
        <v>8</v>
      </c>
      <c r="S42" s="1574">
        <f t="shared" si="10"/>
        <v>100</v>
      </c>
      <c r="T42" s="1573" t="s">
        <v>8</v>
      </c>
      <c r="U42" s="1574">
        <f t="shared" si="11"/>
        <v>100</v>
      </c>
      <c r="V42" s="1573" t="s">
        <v>8</v>
      </c>
      <c r="W42" s="1574">
        <f t="shared" si="12"/>
        <v>100</v>
      </c>
      <c r="X42" s="1567"/>
      <c r="Y42" s="3691"/>
      <c r="Z42" s="1575" t="str">
        <f t="shared" si="13"/>
        <v>临街宽度及深度</v>
      </c>
      <c r="AA42" s="1576">
        <f t="shared" si="3"/>
        <v>1</v>
      </c>
      <c r="AB42" s="1576">
        <f t="shared" si="4"/>
        <v>1</v>
      </c>
      <c r="AC42" s="1576">
        <f t="shared" si="5"/>
        <v>1</v>
      </c>
    </row>
    <row r="43" spans="1:29" s="1220" customFormat="1" ht="20.25">
      <c r="A43" s="600"/>
      <c r="B43" s="1896" t="s">
        <v>2429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691"/>
      <c r="Q43" s="1572" t="str">
        <f t="shared" si="14"/>
        <v>宗地开发程度</v>
      </c>
      <c r="R43" s="1568" t="s">
        <v>8</v>
      </c>
      <c r="S43" s="1569">
        <f t="shared" si="10"/>
        <v>100</v>
      </c>
      <c r="T43" s="1568" t="s">
        <v>8</v>
      </c>
      <c r="U43" s="1569">
        <f t="shared" si="11"/>
        <v>100</v>
      </c>
      <c r="V43" s="1568" t="s">
        <v>8</v>
      </c>
      <c r="W43" s="1569">
        <f t="shared" si="12"/>
        <v>100</v>
      </c>
      <c r="X43" s="1570"/>
      <c r="Y43" s="3691"/>
      <c r="Z43" s="1150" t="str">
        <f t="shared" si="13"/>
        <v>宗地开发程度</v>
      </c>
      <c r="AA43" s="1571">
        <f t="shared" si="3"/>
        <v>1</v>
      </c>
      <c r="AB43" s="1571">
        <f t="shared" si="4"/>
        <v>1</v>
      </c>
      <c r="AC43" s="1571">
        <f t="shared" si="5"/>
        <v>1</v>
      </c>
    </row>
    <row r="44" spans="1:29" ht="20.25">
      <c r="A44" s="594"/>
      <c r="B44" s="527" t="s">
        <v>556</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691" t="s">
        <v>551</v>
      </c>
      <c r="Q44" s="1572" t="str">
        <f t="shared" si="14"/>
        <v>工程地质条件</v>
      </c>
      <c r="R44" s="1573" t="s">
        <v>8</v>
      </c>
      <c r="S44" s="1574">
        <f t="shared" si="10"/>
        <v>100</v>
      </c>
      <c r="T44" s="1573" t="s">
        <v>8</v>
      </c>
      <c r="U44" s="1574">
        <f t="shared" si="11"/>
        <v>100</v>
      </c>
      <c r="V44" s="1573" t="s">
        <v>8</v>
      </c>
      <c r="W44" s="1574">
        <f t="shared" si="12"/>
        <v>100</v>
      </c>
      <c r="X44" s="1567"/>
      <c r="Y44" s="3691" t="s">
        <v>551</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691"/>
      <c r="Q45" s="1572">
        <f t="shared" si="14"/>
        <v>111</v>
      </c>
      <c r="R45" s="1573" t="s">
        <v>8</v>
      </c>
      <c r="S45" s="1574">
        <f t="shared" si="10"/>
        <v>100</v>
      </c>
      <c r="T45" s="1573" t="s">
        <v>8</v>
      </c>
      <c r="U45" s="1574">
        <f t="shared" si="11"/>
        <v>100</v>
      </c>
      <c r="V45" s="1573" t="s">
        <v>8</v>
      </c>
      <c r="W45" s="1574">
        <f t="shared" si="12"/>
        <v>100</v>
      </c>
      <c r="X45" s="1567"/>
      <c r="Y45" s="3691"/>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691"/>
      <c r="Q46" s="1572">
        <f t="shared" si="14"/>
        <v>111</v>
      </c>
      <c r="R46" s="1573" t="s">
        <v>8</v>
      </c>
      <c r="S46" s="1574">
        <f t="shared" si="10"/>
        <v>100</v>
      </c>
      <c r="T46" s="1573" t="s">
        <v>8</v>
      </c>
      <c r="U46" s="1574">
        <f t="shared" si="11"/>
        <v>100</v>
      </c>
      <c r="V46" s="1573" t="s">
        <v>8</v>
      </c>
      <c r="W46" s="1574">
        <f t="shared" si="12"/>
        <v>100</v>
      </c>
      <c r="X46" s="1567"/>
      <c r="Y46" s="3691"/>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691"/>
      <c r="Q47" s="1572">
        <f t="shared" si="14"/>
        <v>111</v>
      </c>
      <c r="R47" s="1577" t="s">
        <v>8</v>
      </c>
      <c r="S47" s="1578">
        <f t="shared" si="10"/>
        <v>100</v>
      </c>
      <c r="T47" s="1577" t="s">
        <v>8</v>
      </c>
      <c r="U47" s="1578">
        <f t="shared" si="11"/>
        <v>100</v>
      </c>
      <c r="V47" s="1577" t="s">
        <v>8</v>
      </c>
      <c r="W47" s="1578">
        <f t="shared" si="12"/>
        <v>100</v>
      </c>
      <c r="X47" s="1579"/>
      <c r="Y47" s="3691"/>
      <c r="Z47" s="1580">
        <f t="shared" si="13"/>
        <v>111</v>
      </c>
      <c r="AA47" s="1576">
        <f t="shared" si="3"/>
        <v>1</v>
      </c>
      <c r="AB47" s="1576">
        <f t="shared" si="4"/>
        <v>1</v>
      </c>
      <c r="AC47" s="1576">
        <f t="shared" si="5"/>
        <v>1</v>
      </c>
    </row>
    <row r="48" spans="1:29" ht="20.25">
      <c r="A48" s="607" t="s">
        <v>557</v>
      </c>
      <c r="B48" s="608" t="s">
        <v>3302</v>
      </c>
      <c r="C48" s="609" t="s">
        <v>1</v>
      </c>
      <c r="D48" s="610"/>
      <c r="E48" s="611">
        <f>土地案例!K7</f>
        <v>2120.3000000000002</v>
      </c>
      <c r="F48" s="612"/>
      <c r="G48" s="613">
        <f>土地案例!K19</f>
        <v>2598.46</v>
      </c>
      <c r="H48" s="614"/>
      <c r="I48" s="611">
        <f>土地案例!K26</f>
        <v>2321.5300000000002</v>
      </c>
      <c r="J48" s="614"/>
      <c r="K48" s="1340"/>
      <c r="L48" s="2145"/>
      <c r="M48" s="2133"/>
      <c r="N48" s="2133"/>
      <c r="O48" s="2146"/>
      <c r="P48" s="3654" t="str">
        <f>A48</f>
        <v>成交单价</v>
      </c>
      <c r="Q48" s="3654"/>
      <c r="R48" s="3655">
        <f>E48</f>
        <v>2120.3000000000002</v>
      </c>
      <c r="S48" s="3655"/>
      <c r="T48" s="3655">
        <f>G48</f>
        <v>2598.46</v>
      </c>
      <c r="U48" s="3655"/>
      <c r="V48" s="3655">
        <f>I48</f>
        <v>2321.5300000000002</v>
      </c>
      <c r="W48" s="3655"/>
      <c r="X48" s="1559"/>
      <c r="Y48" s="1581"/>
      <c r="Z48" s="1559"/>
      <c r="AA48" s="1559"/>
      <c r="AB48" s="1559"/>
      <c r="AC48" s="1559"/>
    </row>
    <row r="49" spans="1:29" ht="21" thickBot="1">
      <c r="A49" s="615" t="s">
        <v>2700</v>
      </c>
      <c r="B49" s="616"/>
      <c r="C49" s="617">
        <f>R50</f>
        <v>2324</v>
      </c>
      <c r="D49" s="618"/>
      <c r="E49" s="617">
        <f>R49</f>
        <v>2143</v>
      </c>
      <c r="F49" s="619"/>
      <c r="G49" s="620">
        <f>T49</f>
        <v>2636</v>
      </c>
      <c r="H49" s="618"/>
      <c r="I49" s="617">
        <f>V49</f>
        <v>2194</v>
      </c>
      <c r="J49" s="618"/>
      <c r="K49" s="1341"/>
      <c r="L49" s="2145"/>
      <c r="M49" s="2133"/>
      <c r="N49" s="2133"/>
      <c r="O49" s="2146"/>
      <c r="P49" s="3654" t="str">
        <f>A49</f>
        <v>比较价格（元/平方米）</v>
      </c>
      <c r="Q49" s="3654"/>
      <c r="R49" s="3656">
        <f>ROUND(PRODUCT(R48,AA9:AA47),0)</f>
        <v>2143</v>
      </c>
      <c r="S49" s="3656"/>
      <c r="T49" s="3656">
        <f>ROUND(PRODUCT(T48,AB9:AB47),0)</f>
        <v>2636</v>
      </c>
      <c r="U49" s="3656"/>
      <c r="V49" s="3656">
        <f>ROUND(PRODUCT(V48,AC9:AC47),0)</f>
        <v>2194</v>
      </c>
      <c r="W49" s="3656"/>
      <c r="X49" s="1559"/>
      <c r="Y49" s="1559"/>
      <c r="Z49" s="1559"/>
      <c r="AA49" s="1559"/>
      <c r="AB49" s="1559"/>
      <c r="AC49" s="1559"/>
    </row>
    <row r="50" spans="1:29" ht="21" thickBot="1">
      <c r="A50" s="621" t="s">
        <v>2944</v>
      </c>
      <c r="B50" s="622"/>
      <c r="C50" s="623">
        <f>R50</f>
        <v>2324</v>
      </c>
      <c r="D50" s="623"/>
      <c r="E50" s="623"/>
      <c r="F50" s="623"/>
      <c r="G50" s="623"/>
      <c r="H50" s="623"/>
      <c r="I50" s="623"/>
      <c r="J50" s="623"/>
      <c r="K50" s="1342"/>
      <c r="L50" s="2145"/>
      <c r="M50" s="2133"/>
      <c r="N50" s="2133"/>
      <c r="O50" s="2146"/>
      <c r="P50" s="3651" t="str">
        <f>A50</f>
        <v>估价对象XX用房的比较价格（楼面单价，元/平方米）</v>
      </c>
      <c r="Q50" s="3652"/>
      <c r="R50" s="3653">
        <f>ROUND(AVERAGE(R49:V49),0)</f>
        <v>2324</v>
      </c>
      <c r="S50" s="3653"/>
      <c r="T50" s="3653"/>
      <c r="U50" s="3653"/>
      <c r="V50" s="3653"/>
      <c r="W50" s="3653"/>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1.0706032165259449E-2</v>
      </c>
      <c r="F53" s="627" t="str">
        <f>IF(OR(E53&gt;=0.3,E53&lt;=-0.3),"超过30%","")</f>
        <v/>
      </c>
      <c r="G53" s="626">
        <f>IF(G48&lt;G49,G49/G48-1,G48/G49-1)</f>
        <v>1.444701861872022E-2</v>
      </c>
      <c r="H53" s="627" t="str">
        <f>IF(OR(G53&gt;=0.3,G53&lt;=-0.3),"超过30%","")</f>
        <v/>
      </c>
      <c r="I53" s="626">
        <f>IF(I48&lt;I49,I49/I48-1,I48/I49-1)</f>
        <v>5.8126709206927973E-2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0.23005132991133914</v>
      </c>
      <c r="F54" s="627" t="str">
        <f>IF(OR(E54&gt;=0.2,E54&lt;=-0.2),"超过20%","")</f>
        <v>超过20%</v>
      </c>
      <c r="G54" s="626">
        <f>IF(G49&lt;I49,I49/G49-1,G49/I49-1)</f>
        <v>0.20145852324521418</v>
      </c>
      <c r="H54" s="627" t="str">
        <f>IF(OR(G54&gt;=0.2,G54&lt;=-0.2),"超过20%","")</f>
        <v>超过20%</v>
      </c>
      <c r="I54" s="626">
        <f>IF(I49&lt;E49,E49/I49-1,I49/E49-1)</f>
        <v>2.3798413439104049E-2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f>IF(E48&lt;G48,G48/E48-1,E48/G48-1)</f>
        <v>0.22551525727491395</v>
      </c>
      <c r="F55" s="627" t="str">
        <f>IF(OR(E55&gt;=0.3,E55&lt;=-0.3),"超过30%","")</f>
        <v/>
      </c>
      <c r="G55" s="626">
        <f>IF(G48&lt;I48,I48/G48-1,G48/I48-1)</f>
        <v>0.11928771112154468</v>
      </c>
      <c r="H55" s="627" t="str">
        <f>IF(OR(G55&gt;=0.3,G55&lt;=-0.3),"超过30%","")</f>
        <v/>
      </c>
      <c r="I55" s="626">
        <f>IF(I48&lt;E48,E48/I48-1,I48/E48-1)</f>
        <v>9.4906381172475518E-2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561</v>
      </c>
      <c r="B57" s="630" t="s">
        <v>562</v>
      </c>
      <c r="C57" s="1560" t="s">
        <v>1726</v>
      </c>
      <c r="D57" s="2228" t="s">
        <v>2297</v>
      </c>
      <c r="E57" s="631" t="s">
        <v>563</v>
      </c>
      <c r="F57" s="632" t="s">
        <v>564</v>
      </c>
      <c r="G57" s="3680" t="s">
        <v>2285</v>
      </c>
      <c r="H57" s="3681"/>
      <c r="I57" s="1555" t="s">
        <v>1724</v>
      </c>
      <c r="J57" s="1555">
        <f>项目基本情况!F41</f>
        <v>0</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565</v>
      </c>
      <c r="B58" s="634">
        <f>C50</f>
        <v>2324</v>
      </c>
      <c r="C58" s="635">
        <v>1</v>
      </c>
      <c r="D58" s="2229">
        <v>1</v>
      </c>
      <c r="E58" s="635">
        <f>'数据-汇总表'!E8+'数据-汇总表'!E9</f>
        <v>381071.8</v>
      </c>
      <c r="F58" s="636">
        <f t="shared" ref="F58:F67" si="15">ROUND(B58*E58/10000,0)</f>
        <v>88561</v>
      </c>
      <c r="G58" s="3682"/>
      <c r="H58" s="3683"/>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566</v>
      </c>
      <c r="B59" s="638">
        <f>ROUND($C$50*C59*D59,0)</f>
        <v>0</v>
      </c>
      <c r="C59" s="378">
        <f t="shared" ref="C59:C67" si="16">IF($C$57="北京市系数",I59,J59)</f>
        <v>0</v>
      </c>
      <c r="D59" s="2230">
        <v>0.25</v>
      </c>
      <c r="E59" s="639">
        <v>0</v>
      </c>
      <c r="F59" s="636">
        <f t="shared" si="15"/>
        <v>0</v>
      </c>
      <c r="G59" s="3684" t="s">
        <v>2286</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567</v>
      </c>
      <c r="B60" s="638">
        <f t="shared" ref="B60:B67" si="17">ROUND($C$50*C60*D60,0)</f>
        <v>0</v>
      </c>
      <c r="C60" s="378">
        <f t="shared" si="16"/>
        <v>0</v>
      </c>
      <c r="D60" s="2230">
        <v>0.25</v>
      </c>
      <c r="E60" s="639">
        <v>0</v>
      </c>
      <c r="F60" s="636">
        <f t="shared" si="15"/>
        <v>0</v>
      </c>
      <c r="G60" s="3684"/>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568</v>
      </c>
      <c r="B61" s="638">
        <f t="shared" si="17"/>
        <v>0</v>
      </c>
      <c r="C61" s="378">
        <f t="shared" si="16"/>
        <v>0</v>
      </c>
      <c r="D61" s="2230">
        <v>0.25</v>
      </c>
      <c r="E61" s="639">
        <v>0</v>
      </c>
      <c r="F61" s="636">
        <f t="shared" si="15"/>
        <v>0</v>
      </c>
      <c r="G61" s="3684"/>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569</v>
      </c>
      <c r="B62" s="638">
        <f t="shared" si="17"/>
        <v>0</v>
      </c>
      <c r="C62" s="378">
        <f t="shared" si="16"/>
        <v>0</v>
      </c>
      <c r="D62" s="2230">
        <v>0.25</v>
      </c>
      <c r="E62" s="639">
        <v>0</v>
      </c>
      <c r="F62" s="636">
        <f t="shared" si="15"/>
        <v>0</v>
      </c>
      <c r="G62" s="3684"/>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2332</v>
      </c>
      <c r="B63" s="638">
        <f t="shared" si="17"/>
        <v>0</v>
      </c>
      <c r="C63" s="378">
        <f t="shared" si="16"/>
        <v>0</v>
      </c>
      <c r="D63" s="2230">
        <v>0.25</v>
      </c>
      <c r="E63" s="641">
        <f>'数据-汇总表'!E11</f>
        <v>0</v>
      </c>
      <c r="F63" s="636">
        <f t="shared" si="15"/>
        <v>0</v>
      </c>
      <c r="G63" s="1946" t="s">
        <v>2287</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570</v>
      </c>
      <c r="B64" s="638">
        <f t="shared" si="17"/>
        <v>0</v>
      </c>
      <c r="C64" s="378">
        <f t="shared" si="16"/>
        <v>0</v>
      </c>
      <c r="D64" s="2230">
        <v>0.25</v>
      </c>
      <c r="E64" s="641">
        <f>'数据-汇总表'!E12</f>
        <v>0</v>
      </c>
      <c r="F64" s="636">
        <f t="shared" si="15"/>
        <v>0</v>
      </c>
      <c r="G64" s="1947" t="s">
        <v>1679</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571</v>
      </c>
      <c r="B65" s="638">
        <f t="shared" si="17"/>
        <v>0</v>
      </c>
      <c r="C65" s="378">
        <f t="shared" si="16"/>
        <v>0</v>
      </c>
      <c r="D65" s="2230">
        <v>0.25</v>
      </c>
      <c r="E65" s="641">
        <f>'数据-汇总表'!E13</f>
        <v>0</v>
      </c>
      <c r="F65" s="636">
        <f t="shared" si="15"/>
        <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572</v>
      </c>
      <c r="B66" s="638">
        <f t="shared" si="17"/>
        <v>0</v>
      </c>
      <c r="C66" s="378">
        <f t="shared" si="16"/>
        <v>0</v>
      </c>
      <c r="D66" s="2230">
        <v>0.25</v>
      </c>
      <c r="E66" s="641">
        <f>'数据-汇总表'!E14</f>
        <v>73057.8</v>
      </c>
      <c r="F66" s="636">
        <f t="shared" si="15"/>
        <v>0</v>
      </c>
      <c r="G66" s="1946" t="s">
        <v>2286</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573</v>
      </c>
      <c r="B67" s="638">
        <f t="shared" si="17"/>
        <v>0</v>
      </c>
      <c r="C67" s="378">
        <f t="shared" si="16"/>
        <v>0</v>
      </c>
      <c r="D67" s="2230">
        <v>0.25</v>
      </c>
      <c r="E67" s="641">
        <f>'数据-汇总表'!E15</f>
        <v>0</v>
      </c>
      <c r="F67" s="636">
        <f t="shared" si="15"/>
        <v>0</v>
      </c>
      <c r="G67" s="1948" t="s">
        <v>2287</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574</v>
      </c>
      <c r="B68" s="643" t="s">
        <v>17</v>
      </c>
      <c r="C68" s="643" t="s">
        <v>18</v>
      </c>
      <c r="D68" s="643" t="s">
        <v>2298</v>
      </c>
      <c r="E68" s="643">
        <f>IF(B48="楼面地价",SUM(E58:E67),'数据-汇总表'!D3)</f>
        <v>454129.6</v>
      </c>
      <c r="F68" s="644">
        <f>IF(B48="楼面地价",SUM(F58:F67),ROUND(C50*E68/10000,0))</f>
        <v>88561</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5" t="str">
        <f>YEAR(C9)&amp;"-"&amp;MONTH(C9)&amp;"-1"</f>
        <v>2018-3-1</v>
      </c>
      <c r="D70" s="2825">
        <f>EDATE(C70,-3)</f>
        <v>43070</v>
      </c>
      <c r="E70" s="2825">
        <f t="shared" ref="E70:N70" si="18">EDATE(D70,-3)</f>
        <v>42979</v>
      </c>
      <c r="F70" s="2825">
        <f t="shared" si="18"/>
        <v>42887</v>
      </c>
      <c r="G70" s="2825">
        <f t="shared" si="18"/>
        <v>42795</v>
      </c>
      <c r="H70" s="2825">
        <f t="shared" si="18"/>
        <v>42705</v>
      </c>
      <c r="I70" s="2825">
        <f t="shared" si="18"/>
        <v>42614</v>
      </c>
      <c r="J70" s="2825">
        <f t="shared" si="18"/>
        <v>42522</v>
      </c>
      <c r="K70" s="2825">
        <f t="shared" si="18"/>
        <v>42430</v>
      </c>
      <c r="L70" s="2825">
        <f t="shared" si="18"/>
        <v>42339</v>
      </c>
      <c r="M70" s="2825">
        <f t="shared" si="18"/>
        <v>42248</v>
      </c>
      <c r="N70" s="2825">
        <f t="shared" si="18"/>
        <v>42156</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2539</v>
      </c>
      <c r="B72" s="2594"/>
      <c r="C72" s="2820" t="str">
        <f>YEAR(C70)&amp;"-"&amp;ROUNDUP(MONTH(C70)/3,0)</f>
        <v>2018-1</v>
      </c>
      <c r="D72" s="2827" t="str">
        <f>YEAR(D70)&amp;"-"&amp;ROUNDUP(MONTH(D70)/3,0)</f>
        <v>2017-4</v>
      </c>
      <c r="E72" s="2827" t="str">
        <f t="shared" ref="E72:N72" si="19">YEAR(E70)&amp;"-"&amp;ROUNDUP(MONTH(E70)/3,0)</f>
        <v>2017-3</v>
      </c>
      <c r="F72" s="2827" t="str">
        <f t="shared" si="19"/>
        <v>2017-2</v>
      </c>
      <c r="G72" s="2827" t="str">
        <f t="shared" si="19"/>
        <v>2017-1</v>
      </c>
      <c r="H72" s="2827" t="str">
        <f t="shared" si="19"/>
        <v>2016-4</v>
      </c>
      <c r="I72" s="2827" t="str">
        <f t="shared" si="19"/>
        <v>2016-3</v>
      </c>
      <c r="J72" s="2827" t="str">
        <f t="shared" si="19"/>
        <v>2016-2</v>
      </c>
      <c r="K72" s="2827" t="str">
        <f t="shared" si="19"/>
        <v>2016-1</v>
      </c>
      <c r="L72" s="2827" t="str">
        <f t="shared" si="19"/>
        <v>2015-4</v>
      </c>
      <c r="M72" s="2827" t="str">
        <f t="shared" si="19"/>
        <v>2015-3</v>
      </c>
      <c r="N72" s="2827" t="str">
        <f t="shared" si="19"/>
        <v>2015-2</v>
      </c>
      <c r="O72" s="2160"/>
      <c r="P72" s="2161"/>
      <c r="Q72" s="2162"/>
      <c r="R72" s="2162"/>
      <c r="S72" s="2162"/>
      <c r="T72" s="2162"/>
      <c r="U72" s="2162"/>
      <c r="V72" s="2162"/>
      <c r="W72" s="2162"/>
      <c r="X72" s="2162"/>
      <c r="Y72" s="2162"/>
      <c r="Z72" s="2162"/>
      <c r="AA72" s="2162"/>
      <c r="AB72" s="2162"/>
      <c r="AC72" s="2162"/>
    </row>
    <row r="73" spans="1:29" s="1220" customFormat="1" ht="27" customHeight="1">
      <c r="A73" s="2832" t="s">
        <v>2654</v>
      </c>
      <c r="B73" s="479" t="str">
        <f>"北京市平均增长率"&amp;TEXT(SUMIF(基准地价!N21:N25,A73,基准地价!P21:P25),"0.00%")</f>
        <v>北京市平均增长率2.30%</v>
      </c>
      <c r="C73" s="894">
        <v>100</v>
      </c>
      <c r="D73" s="3794">
        <f>C73-$C$74</f>
        <v>99.5</v>
      </c>
      <c r="E73" s="3794">
        <f t="shared" ref="E73:N73" si="20">D73-$C$74</f>
        <v>99</v>
      </c>
      <c r="F73" s="3794">
        <f t="shared" si="20"/>
        <v>98.5</v>
      </c>
      <c r="G73" s="3794">
        <f t="shared" si="20"/>
        <v>98</v>
      </c>
      <c r="H73" s="3794">
        <f t="shared" si="20"/>
        <v>97.5</v>
      </c>
      <c r="I73" s="3794">
        <f t="shared" si="20"/>
        <v>97</v>
      </c>
      <c r="J73" s="3794">
        <f t="shared" si="20"/>
        <v>96.5</v>
      </c>
      <c r="K73" s="3794">
        <f t="shared" si="20"/>
        <v>96</v>
      </c>
      <c r="L73" s="3794">
        <f t="shared" si="20"/>
        <v>95.5</v>
      </c>
      <c r="M73" s="3794">
        <f t="shared" si="20"/>
        <v>95</v>
      </c>
      <c r="N73" s="3794">
        <f t="shared" si="20"/>
        <v>94.5</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2" t="s">
        <v>2653</v>
      </c>
      <c r="B74" s="2831"/>
      <c r="C74" s="3793">
        <v>0.5</v>
      </c>
      <c r="D74" s="2817"/>
      <c r="E74" s="2817"/>
      <c r="F74" s="2817"/>
      <c r="G74" s="2817"/>
      <c r="H74" s="2817"/>
      <c r="I74" s="2817"/>
      <c r="J74" s="2817"/>
      <c r="K74" s="2817"/>
      <c r="L74" s="2817"/>
      <c r="M74" s="2817"/>
      <c r="N74" s="2817"/>
      <c r="O74" s="2163"/>
      <c r="P74" s="2159"/>
      <c r="Q74" s="2159"/>
      <c r="R74" s="1994"/>
      <c r="S74" s="1994"/>
      <c r="T74" s="1994"/>
      <c r="U74" s="1994"/>
      <c r="V74" s="1994"/>
      <c r="W74" s="1994"/>
      <c r="X74" s="1994"/>
      <c r="Y74" s="1994"/>
      <c r="Z74" s="1994"/>
      <c r="AA74" s="1994"/>
      <c r="AB74" s="1994"/>
      <c r="AC74" s="1994"/>
    </row>
    <row r="75" spans="1:29" s="1220"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2555</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2557</v>
      </c>
      <c r="C104" s="2623" t="s">
        <v>2558</v>
      </c>
      <c r="D104" s="2623" t="s">
        <v>2559</v>
      </c>
      <c r="E104" s="2623" t="s">
        <v>2560</v>
      </c>
      <c r="F104" s="2623" t="s">
        <v>2561</v>
      </c>
      <c r="G104" s="2623" t="s">
        <v>2562</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3795" t="s">
        <v>3311</v>
      </c>
      <c r="D108" s="3795" t="s">
        <v>3312</v>
      </c>
      <c r="E108" s="3795" t="s">
        <v>3307</v>
      </c>
      <c r="F108" s="3795" t="s">
        <v>3309</v>
      </c>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550</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552</v>
      </c>
      <c r="B118" s="665" t="s">
        <v>594</v>
      </c>
      <c r="C118" s="704" t="str">
        <f t="shared" ref="C118:L118" si="26">C119&amp;"(含)"&amp;"-"&amp;D119</f>
        <v>0(含)-20000</v>
      </c>
      <c r="D118" s="704" t="str">
        <f t="shared" si="26"/>
        <v>20000(含)-40000</v>
      </c>
      <c r="E118" s="704" t="str">
        <f t="shared" si="26"/>
        <v>40000(含)-60000</v>
      </c>
      <c r="F118" s="704" t="str">
        <f t="shared" si="26"/>
        <v>60000(含)-80000</v>
      </c>
      <c r="G118" s="704" t="str">
        <f t="shared" si="26"/>
        <v>80000(含)-</v>
      </c>
      <c r="H118" s="704" t="str">
        <f t="shared" si="26"/>
        <v>(含)-</v>
      </c>
      <c r="I118" s="704" t="str">
        <f t="shared" si="26"/>
        <v>(含)-</v>
      </c>
      <c r="J118" s="3119" t="str">
        <f t="shared" si="26"/>
        <v>(含)-</v>
      </c>
      <c r="K118" s="3119" t="str">
        <f t="shared" si="26"/>
        <v>(含)-</v>
      </c>
      <c r="L118" s="3120" t="str">
        <f t="shared" si="26"/>
        <v>(含)-</v>
      </c>
      <c r="M118" s="312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26">
        <v>104</v>
      </c>
      <c r="F120" s="726">
        <v>106</v>
      </c>
      <c r="G120" s="726">
        <v>108</v>
      </c>
      <c r="H120" s="726">
        <v>110</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595</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596</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2430</v>
      </c>
      <c r="C125" s="1375"/>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8"/>
  <sheetViews>
    <sheetView topLeftCell="A6" workbookViewId="0">
      <selection activeCell="K26" sqref="K26"/>
    </sheetView>
  </sheetViews>
  <sheetFormatPr defaultRowHeight="11.25"/>
  <cols>
    <col min="1" max="1" width="16" style="3782" customWidth="1"/>
    <col min="2" max="2" width="9" style="3782"/>
    <col min="3" max="3" width="12.25" style="3782" customWidth="1"/>
    <col min="4" max="13" width="9" style="3782"/>
    <col min="14" max="14" width="31.25" style="3782" customWidth="1"/>
    <col min="15" max="16384" width="9" style="3782"/>
  </cols>
  <sheetData>
    <row r="1" spans="1:15" ht="36" customHeight="1">
      <c r="A1" s="3785" t="s">
        <v>3275</v>
      </c>
      <c r="B1" s="3785"/>
      <c r="C1" s="3785"/>
      <c r="D1" s="3785"/>
      <c r="E1" s="3785"/>
      <c r="F1" s="3785"/>
      <c r="G1" s="3785"/>
      <c r="H1" s="3785"/>
      <c r="I1" s="3785"/>
      <c r="J1" s="3785"/>
      <c r="K1" s="3785"/>
      <c r="L1" s="3785"/>
      <c r="M1" s="3785"/>
      <c r="N1" s="3785"/>
    </row>
    <row r="2" spans="1:15" s="3779" customFormat="1" ht="51.75" customHeight="1">
      <c r="A2" s="3783" t="s">
        <v>3235</v>
      </c>
      <c r="B2" s="3783" t="s">
        <v>3236</v>
      </c>
      <c r="C2" s="3783" t="s">
        <v>3237</v>
      </c>
      <c r="D2" s="3783" t="s">
        <v>3238</v>
      </c>
      <c r="E2" s="3783" t="s">
        <v>3239</v>
      </c>
      <c r="F2" s="3783" t="s">
        <v>2036</v>
      </c>
      <c r="G2" s="3783" t="s">
        <v>3240</v>
      </c>
      <c r="H2" s="3783" t="s">
        <v>3241</v>
      </c>
      <c r="I2" s="3783" t="s">
        <v>3242</v>
      </c>
      <c r="J2" s="3783" t="s">
        <v>3276</v>
      </c>
      <c r="K2" s="3783" t="s">
        <v>3244</v>
      </c>
      <c r="L2" s="3783" t="s">
        <v>3274</v>
      </c>
      <c r="M2" s="3783" t="s">
        <v>3245</v>
      </c>
      <c r="N2" s="3783" t="s">
        <v>3246</v>
      </c>
    </row>
    <row r="3" spans="1:15" s="3781" customFormat="1" ht="24.95" customHeight="1">
      <c r="A3" s="3784" t="s">
        <v>3247</v>
      </c>
      <c r="B3" s="3784" t="s">
        <v>3248</v>
      </c>
      <c r="C3" s="3784" t="s">
        <v>3249</v>
      </c>
      <c r="D3" s="3784">
        <v>12958.9</v>
      </c>
      <c r="E3" s="3784">
        <v>19438.349999999999</v>
      </c>
      <c r="F3" s="3784">
        <f>ROUND(E3/D3,3)</f>
        <v>1.5</v>
      </c>
      <c r="G3" s="3784" t="s">
        <v>3250</v>
      </c>
      <c r="H3" s="3784" t="s">
        <v>3251</v>
      </c>
      <c r="I3" s="3784">
        <v>2750</v>
      </c>
      <c r="J3" s="3784">
        <v>2750</v>
      </c>
      <c r="K3" s="3784">
        <v>1414.73</v>
      </c>
      <c r="L3" s="3784">
        <f>ROUND(J3/D3*10000,0)</f>
        <v>2122</v>
      </c>
      <c r="M3" s="3784">
        <v>0</v>
      </c>
      <c r="N3" s="3784" t="s">
        <v>3252</v>
      </c>
    </row>
    <row r="4" spans="1:15" s="3781" customFormat="1" ht="24.95" hidden="1" customHeight="1">
      <c r="A4" s="3784" t="s">
        <v>3253</v>
      </c>
      <c r="B4" s="3784" t="s">
        <v>3248</v>
      </c>
      <c r="C4" s="3784" t="s">
        <v>3249</v>
      </c>
      <c r="D4" s="3784">
        <v>1291</v>
      </c>
      <c r="E4" s="3784">
        <v>322.75</v>
      </c>
      <c r="F4" s="3784">
        <f t="shared" ref="F4:F11" si="0">ROUND(E4/D4,3)</f>
        <v>0.25</v>
      </c>
      <c r="G4" s="3784" t="s">
        <v>3250</v>
      </c>
      <c r="H4" s="3784" t="s">
        <v>3254</v>
      </c>
      <c r="I4" s="3784">
        <v>600</v>
      </c>
      <c r="J4" s="3784">
        <v>600</v>
      </c>
      <c r="K4" s="3784">
        <v>18590.240000000002</v>
      </c>
      <c r="L4" s="3784">
        <f t="shared" ref="L4:L11" si="1">ROUND(J4/D4*10000,0)</f>
        <v>4648</v>
      </c>
      <c r="M4" s="3784">
        <v>0</v>
      </c>
      <c r="N4" s="3784" t="s">
        <v>3255</v>
      </c>
    </row>
    <row r="5" spans="1:15" s="3781" customFormat="1" ht="24.95" hidden="1" customHeight="1">
      <c r="A5" s="3784" t="s">
        <v>3256</v>
      </c>
      <c r="B5" s="3784" t="s">
        <v>3248</v>
      </c>
      <c r="C5" s="3784" t="s">
        <v>3249</v>
      </c>
      <c r="D5" s="3784">
        <v>14054.5</v>
      </c>
      <c r="E5" s="3784">
        <v>8432.7000000000007</v>
      </c>
      <c r="F5" s="3784">
        <f t="shared" si="0"/>
        <v>0.6</v>
      </c>
      <c r="G5" s="3784" t="s">
        <v>3250</v>
      </c>
      <c r="H5" s="3784" t="s">
        <v>3254</v>
      </c>
      <c r="I5" s="3784">
        <v>5200</v>
      </c>
      <c r="J5" s="3784">
        <v>5200</v>
      </c>
      <c r="K5" s="3784">
        <v>6166.47</v>
      </c>
      <c r="L5" s="3784">
        <f t="shared" si="1"/>
        <v>3700</v>
      </c>
      <c r="M5" s="3784">
        <v>0</v>
      </c>
      <c r="N5" s="3784" t="s">
        <v>3257</v>
      </c>
    </row>
    <row r="6" spans="1:15" s="3781" customFormat="1" ht="24.95" customHeight="1">
      <c r="A6" s="3784" t="s">
        <v>3258</v>
      </c>
      <c r="B6" s="3784" t="s">
        <v>3248</v>
      </c>
      <c r="C6" s="3784" t="s">
        <v>3249</v>
      </c>
      <c r="D6" s="3784">
        <v>11372.3</v>
      </c>
      <c r="E6" s="3784">
        <v>11372.3</v>
      </c>
      <c r="F6" s="3784">
        <f>ROUND(E6/D6,3)</f>
        <v>1</v>
      </c>
      <c r="G6" s="3784" t="s">
        <v>3250</v>
      </c>
      <c r="H6" s="3784" t="s">
        <v>3259</v>
      </c>
      <c r="I6" s="3784">
        <v>2850</v>
      </c>
      <c r="J6" s="3784">
        <v>6200</v>
      </c>
      <c r="K6" s="3784">
        <v>5451.84</v>
      </c>
      <c r="L6" s="3784">
        <f>ROUND(J6/D6*10000,0)</f>
        <v>5452</v>
      </c>
      <c r="M6" s="3784">
        <v>117.54</v>
      </c>
      <c r="N6" s="3784" t="s">
        <v>3277</v>
      </c>
    </row>
    <row r="7" spans="1:15" s="3789" customFormat="1" ht="24.95" customHeight="1">
      <c r="A7" s="3788" t="s">
        <v>3261</v>
      </c>
      <c r="B7" s="3788" t="s">
        <v>3248</v>
      </c>
      <c r="C7" s="3788" t="s">
        <v>3249</v>
      </c>
      <c r="D7" s="3788">
        <v>23581.5</v>
      </c>
      <c r="E7" s="3788">
        <v>28297.8</v>
      </c>
      <c r="F7" s="3788">
        <f>ROUND(E7/D7,3)</f>
        <v>1.2</v>
      </c>
      <c r="G7" s="3788" t="s">
        <v>3250</v>
      </c>
      <c r="H7" s="3788" t="s">
        <v>3262</v>
      </c>
      <c r="I7" s="3788">
        <v>6000</v>
      </c>
      <c r="J7" s="3788">
        <v>6000</v>
      </c>
      <c r="K7" s="3788">
        <v>2120.3000000000002</v>
      </c>
      <c r="L7" s="3788">
        <f t="shared" si="1"/>
        <v>2544</v>
      </c>
      <c r="M7" s="3788">
        <v>0</v>
      </c>
      <c r="N7" s="3788" t="s">
        <v>3260</v>
      </c>
    </row>
    <row r="8" spans="1:15" s="3781" customFormat="1" ht="24.95" hidden="1" customHeight="1">
      <c r="A8" s="3780" t="s">
        <v>3253</v>
      </c>
      <c r="B8" s="3780" t="s">
        <v>3248</v>
      </c>
      <c r="C8" s="3780" t="s">
        <v>3249</v>
      </c>
      <c r="D8" s="3780">
        <v>1288.8</v>
      </c>
      <c r="E8" s="3780">
        <v>322.2</v>
      </c>
      <c r="F8" s="3780">
        <f t="shared" si="0"/>
        <v>0.25</v>
      </c>
      <c r="G8" s="3780" t="s">
        <v>3250</v>
      </c>
      <c r="H8" s="3780" t="s">
        <v>3263</v>
      </c>
      <c r="I8" s="3780" t="s">
        <v>2825</v>
      </c>
      <c r="J8" s="3780">
        <v>4200</v>
      </c>
      <c r="K8" s="3780">
        <v>130353.82</v>
      </c>
      <c r="L8" s="3780">
        <f t="shared" si="1"/>
        <v>32588</v>
      </c>
      <c r="M8" s="3780" t="s">
        <v>2825</v>
      </c>
      <c r="N8" s="3780" t="s">
        <v>3255</v>
      </c>
    </row>
    <row r="9" spans="1:15" s="3781" customFormat="1" ht="24.95" hidden="1" customHeight="1">
      <c r="A9" s="3780" t="s">
        <v>3264</v>
      </c>
      <c r="B9" s="3780" t="s">
        <v>3248</v>
      </c>
      <c r="C9" s="3780" t="s">
        <v>3249</v>
      </c>
      <c r="D9" s="3780">
        <v>1982</v>
      </c>
      <c r="E9" s="3780">
        <v>495.5</v>
      </c>
      <c r="F9" s="3780">
        <f t="shared" si="0"/>
        <v>0.25</v>
      </c>
      <c r="G9" s="3780" t="s">
        <v>3250</v>
      </c>
      <c r="H9" s="3780" t="s">
        <v>3265</v>
      </c>
      <c r="I9" s="3780">
        <v>700</v>
      </c>
      <c r="J9" s="3780">
        <v>1560</v>
      </c>
      <c r="K9" s="3780">
        <v>31483.34</v>
      </c>
      <c r="L9" s="3780">
        <f t="shared" si="1"/>
        <v>7871</v>
      </c>
      <c r="M9" s="3780">
        <v>122.86</v>
      </c>
      <c r="N9" s="3780" t="s">
        <v>3266</v>
      </c>
    </row>
    <row r="10" spans="1:15" s="3781" customFormat="1" ht="24.95" hidden="1" customHeight="1">
      <c r="A10" s="3780" t="s">
        <v>3267</v>
      </c>
      <c r="B10" s="3780" t="s">
        <v>3248</v>
      </c>
      <c r="C10" s="3780" t="s">
        <v>3249</v>
      </c>
      <c r="D10" s="3780">
        <v>2093.5</v>
      </c>
      <c r="E10" s="3780">
        <v>418.7</v>
      </c>
      <c r="F10" s="3780">
        <f t="shared" si="0"/>
        <v>0.2</v>
      </c>
      <c r="G10" s="3780" t="s">
        <v>3250</v>
      </c>
      <c r="H10" s="3780" t="s">
        <v>3268</v>
      </c>
      <c r="I10" s="3780">
        <v>713</v>
      </c>
      <c r="J10" s="3780">
        <v>713</v>
      </c>
      <c r="K10" s="3780">
        <v>17028.900000000001</v>
      </c>
      <c r="L10" s="3780">
        <f t="shared" si="1"/>
        <v>3406</v>
      </c>
      <c r="M10" s="3780">
        <v>0</v>
      </c>
      <c r="N10" s="3780" t="s">
        <v>3269</v>
      </c>
    </row>
    <row r="11" spans="1:15" s="3781" customFormat="1" ht="24.95" hidden="1" customHeight="1">
      <c r="A11" s="3780" t="s">
        <v>3270</v>
      </c>
      <c r="B11" s="3780" t="s">
        <v>3248</v>
      </c>
      <c r="C11" s="3780" t="s">
        <v>3249</v>
      </c>
      <c r="D11" s="3780">
        <v>1808.8</v>
      </c>
      <c r="E11" s="3780">
        <v>542.64</v>
      </c>
      <c r="F11" s="3780">
        <f t="shared" si="0"/>
        <v>0.3</v>
      </c>
      <c r="G11" s="3780" t="s">
        <v>3250</v>
      </c>
      <c r="H11" s="3780" t="s">
        <v>3271</v>
      </c>
      <c r="I11" s="3780">
        <v>554</v>
      </c>
      <c r="J11" s="3780">
        <v>554</v>
      </c>
      <c r="K11" s="3780">
        <v>10209.35</v>
      </c>
      <c r="L11" s="3780">
        <f t="shared" si="1"/>
        <v>3063</v>
      </c>
      <c r="M11" s="3780">
        <v>0</v>
      </c>
      <c r="N11" s="3780" t="s">
        <v>3272</v>
      </c>
    </row>
    <row r="12" spans="1:15">
      <c r="L12" s="3780"/>
    </row>
    <row r="16" spans="1:15" s="2965" customFormat="1" ht="40.5">
      <c r="A16" s="3787" t="s">
        <v>3235</v>
      </c>
      <c r="B16" s="3787" t="s">
        <v>3236</v>
      </c>
      <c r="C16" s="3787" t="s">
        <v>3237</v>
      </c>
      <c r="D16" s="3787" t="s">
        <v>3238</v>
      </c>
      <c r="E16" s="3787" t="s">
        <v>3239</v>
      </c>
      <c r="F16" s="3787" t="s">
        <v>2036</v>
      </c>
      <c r="G16" s="3787" t="s">
        <v>3240</v>
      </c>
      <c r="H16" s="3787" t="s">
        <v>3241</v>
      </c>
      <c r="I16" s="3787" t="s">
        <v>3242</v>
      </c>
      <c r="J16" s="3787" t="s">
        <v>3243</v>
      </c>
      <c r="K16" s="3787" t="s">
        <v>3244</v>
      </c>
      <c r="L16" s="3787" t="s">
        <v>3273</v>
      </c>
      <c r="M16" s="3787" t="s">
        <v>3245</v>
      </c>
      <c r="N16" s="3787" t="s">
        <v>3246</v>
      </c>
      <c r="O16" s="3786"/>
    </row>
    <row r="17" spans="1:15" s="2965" customFormat="1" ht="27" hidden="1">
      <c r="A17" s="3787" t="s">
        <v>3278</v>
      </c>
      <c r="B17" s="3787" t="s">
        <v>3248</v>
      </c>
      <c r="C17" s="3787" t="s">
        <v>3249</v>
      </c>
      <c r="D17" s="3787">
        <v>28398.400000000001</v>
      </c>
      <c r="E17" s="3787">
        <v>22718.720000000001</v>
      </c>
      <c r="F17" s="3787">
        <f>E17/D17</f>
        <v>0.8</v>
      </c>
      <c r="G17" s="3783" t="s">
        <v>3250</v>
      </c>
      <c r="H17" s="3787" t="s">
        <v>3251</v>
      </c>
      <c r="I17" s="3787">
        <v>8850</v>
      </c>
      <c r="J17" s="3787">
        <v>8850</v>
      </c>
      <c r="K17" s="3787">
        <v>3895.46</v>
      </c>
      <c r="L17" s="3784">
        <f>ROUND(J17/D17*10000,0)</f>
        <v>3116</v>
      </c>
      <c r="M17" s="3787">
        <v>0</v>
      </c>
      <c r="N17" s="3787" t="s">
        <v>3279</v>
      </c>
      <c r="O17" s="3786"/>
    </row>
    <row r="18" spans="1:15" s="2965" customFormat="1" ht="27" hidden="1">
      <c r="A18" s="3787" t="s">
        <v>3280</v>
      </c>
      <c r="B18" s="3787" t="s">
        <v>3248</v>
      </c>
      <c r="C18" s="3787" t="s">
        <v>3249</v>
      </c>
      <c r="D18" s="3787">
        <v>30344.5</v>
      </c>
      <c r="E18" s="3787">
        <v>24275.599999999999</v>
      </c>
      <c r="F18" s="3787">
        <f t="shared" ref="F18:F28" si="2">E18/D18</f>
        <v>0.79999999999999993</v>
      </c>
      <c r="G18" s="3787" t="s">
        <v>3250</v>
      </c>
      <c r="H18" s="3787" t="s">
        <v>3251</v>
      </c>
      <c r="I18" s="3787">
        <v>9460</v>
      </c>
      <c r="J18" s="3787">
        <v>9460</v>
      </c>
      <c r="K18" s="3787">
        <v>3896.92</v>
      </c>
      <c r="L18" s="3784">
        <f t="shared" ref="L18:L28" si="3">ROUND(J18/D18*10000,0)</f>
        <v>3118</v>
      </c>
      <c r="M18" s="3787">
        <v>0</v>
      </c>
      <c r="N18" s="3787" t="s">
        <v>3279</v>
      </c>
      <c r="O18" s="3786"/>
    </row>
    <row r="19" spans="1:15" s="3792" customFormat="1" ht="27">
      <c r="A19" s="3790" t="s">
        <v>3281</v>
      </c>
      <c r="B19" s="3790" t="s">
        <v>3248</v>
      </c>
      <c r="C19" s="3790" t="s">
        <v>3249</v>
      </c>
      <c r="D19" s="3790">
        <v>17452.599999999999</v>
      </c>
      <c r="E19" s="3790">
        <v>34905.199999999997</v>
      </c>
      <c r="F19" s="3790">
        <f t="shared" si="2"/>
        <v>2</v>
      </c>
      <c r="G19" s="3790" t="s">
        <v>3250</v>
      </c>
      <c r="H19" s="3790" t="s">
        <v>3251</v>
      </c>
      <c r="I19" s="3790">
        <v>9070</v>
      </c>
      <c r="J19" s="3790">
        <v>9070</v>
      </c>
      <c r="K19" s="3790">
        <v>2598.46</v>
      </c>
      <c r="L19" s="3788">
        <f t="shared" si="3"/>
        <v>5197</v>
      </c>
      <c r="M19" s="3790">
        <v>0</v>
      </c>
      <c r="N19" s="3790" t="s">
        <v>3282</v>
      </c>
      <c r="O19" s="3791"/>
    </row>
    <row r="20" spans="1:15" s="2965" customFormat="1" ht="27" hidden="1">
      <c r="A20" s="3787" t="s">
        <v>3283</v>
      </c>
      <c r="B20" s="3787" t="s">
        <v>3248</v>
      </c>
      <c r="C20" s="3787" t="s">
        <v>3249</v>
      </c>
      <c r="D20" s="3787">
        <v>9594.6</v>
      </c>
      <c r="E20" s="3787">
        <v>7675.68</v>
      </c>
      <c r="F20" s="3787">
        <f t="shared" si="2"/>
        <v>0.8</v>
      </c>
      <c r="G20" s="3787" t="s">
        <v>3250</v>
      </c>
      <c r="H20" s="3787" t="s">
        <v>3251</v>
      </c>
      <c r="I20" s="3787">
        <v>2990</v>
      </c>
      <c r="J20" s="3787">
        <v>2990</v>
      </c>
      <c r="K20" s="3787">
        <v>3895.42</v>
      </c>
      <c r="L20" s="3784">
        <f t="shared" si="3"/>
        <v>3116</v>
      </c>
      <c r="M20" s="3787">
        <v>0</v>
      </c>
      <c r="N20" s="3787" t="s">
        <v>3279</v>
      </c>
      <c r="O20" s="3786"/>
    </row>
    <row r="21" spans="1:15" s="2965" customFormat="1" ht="27">
      <c r="A21" s="3787" t="s">
        <v>3284</v>
      </c>
      <c r="B21" s="3787" t="s">
        <v>3248</v>
      </c>
      <c r="C21" s="3787" t="s">
        <v>3249</v>
      </c>
      <c r="D21" s="3787">
        <v>114503.3</v>
      </c>
      <c r="E21" s="3787">
        <v>171754.95</v>
      </c>
      <c r="F21" s="3787">
        <f t="shared" si="2"/>
        <v>1.5</v>
      </c>
      <c r="G21" s="3787" t="s">
        <v>3250</v>
      </c>
      <c r="H21" s="3787" t="s">
        <v>3285</v>
      </c>
      <c r="I21" s="3787">
        <v>27300</v>
      </c>
      <c r="J21" s="3787">
        <v>27300</v>
      </c>
      <c r="K21" s="3787">
        <v>1589.47</v>
      </c>
      <c r="L21" s="3784">
        <f t="shared" si="3"/>
        <v>2384</v>
      </c>
      <c r="M21" s="3787">
        <v>0</v>
      </c>
      <c r="N21" s="3787" t="s">
        <v>3286</v>
      </c>
      <c r="O21" s="3786"/>
    </row>
    <row r="22" spans="1:15" s="2965" customFormat="1" ht="27">
      <c r="A22" s="3787" t="s">
        <v>3287</v>
      </c>
      <c r="B22" s="3787" t="s">
        <v>3248</v>
      </c>
      <c r="C22" s="3787" t="s">
        <v>3249</v>
      </c>
      <c r="D22" s="3787">
        <v>164991.9</v>
      </c>
      <c r="E22" s="3787">
        <v>230988.66</v>
      </c>
      <c r="F22" s="3787">
        <f t="shared" si="2"/>
        <v>1.4000000000000001</v>
      </c>
      <c r="G22" s="3787" t="s">
        <v>3250</v>
      </c>
      <c r="H22" s="3787" t="s">
        <v>3285</v>
      </c>
      <c r="I22" s="3787">
        <v>27700</v>
      </c>
      <c r="J22" s="3787">
        <v>27700</v>
      </c>
      <c r="K22" s="3787">
        <v>1199.19</v>
      </c>
      <c r="L22" s="3784">
        <f t="shared" si="3"/>
        <v>1679</v>
      </c>
      <c r="M22" s="3787">
        <v>0</v>
      </c>
      <c r="N22" s="3787" t="s">
        <v>3286</v>
      </c>
      <c r="O22" s="3786"/>
    </row>
    <row r="23" spans="1:15" s="2965" customFormat="1" ht="27">
      <c r="A23" s="3787" t="s">
        <v>3288</v>
      </c>
      <c r="B23" s="3787" t="s">
        <v>3248</v>
      </c>
      <c r="C23" s="3787" t="s">
        <v>3249</v>
      </c>
      <c r="D23" s="3787">
        <v>9263</v>
      </c>
      <c r="E23" s="3787">
        <v>11115.6</v>
      </c>
      <c r="F23" s="3787">
        <f t="shared" si="2"/>
        <v>1.2</v>
      </c>
      <c r="G23" s="3787" t="s">
        <v>3250</v>
      </c>
      <c r="H23" s="3787" t="s">
        <v>3289</v>
      </c>
      <c r="I23" s="3787">
        <v>2080</v>
      </c>
      <c r="J23" s="3787">
        <v>2080</v>
      </c>
      <c r="K23" s="3787">
        <v>1871.24</v>
      </c>
      <c r="L23" s="3784">
        <f t="shared" si="3"/>
        <v>2245</v>
      </c>
      <c r="M23" s="3787">
        <v>0</v>
      </c>
      <c r="N23" s="3787" t="s">
        <v>3290</v>
      </c>
      <c r="O23" s="3786"/>
    </row>
    <row r="24" spans="1:15" s="2965" customFormat="1" ht="27">
      <c r="A24" s="3787" t="s">
        <v>3291</v>
      </c>
      <c r="B24" s="3787" t="s">
        <v>3248</v>
      </c>
      <c r="C24" s="3787" t="s">
        <v>3249</v>
      </c>
      <c r="D24" s="3787">
        <v>8908.7000000000007</v>
      </c>
      <c r="E24" s="3787">
        <v>11581.31</v>
      </c>
      <c r="F24" s="3787">
        <f t="shared" si="2"/>
        <v>1.2999999999999998</v>
      </c>
      <c r="G24" s="3787" t="s">
        <v>3250</v>
      </c>
      <c r="H24" s="3787" t="s">
        <v>3292</v>
      </c>
      <c r="I24" s="3787">
        <v>1400</v>
      </c>
      <c r="J24" s="3787">
        <v>1400</v>
      </c>
      <c r="K24" s="3787">
        <v>1208.83</v>
      </c>
      <c r="L24" s="3784">
        <f t="shared" si="3"/>
        <v>1571</v>
      </c>
      <c r="M24" s="3787">
        <v>0</v>
      </c>
      <c r="N24" s="3787" t="s">
        <v>3286</v>
      </c>
      <c r="O24" s="3786"/>
    </row>
    <row r="25" spans="1:15" s="2965" customFormat="1" ht="27">
      <c r="A25" s="3787" t="s">
        <v>3293</v>
      </c>
      <c r="B25" s="3787" t="s">
        <v>3248</v>
      </c>
      <c r="C25" s="3787" t="s">
        <v>3249</v>
      </c>
      <c r="D25" s="3787">
        <v>64118</v>
      </c>
      <c r="E25" s="3787">
        <v>76941.600000000006</v>
      </c>
      <c r="F25" s="3787">
        <f t="shared" si="2"/>
        <v>1.2000000000000002</v>
      </c>
      <c r="G25" s="3787" t="s">
        <v>3250</v>
      </c>
      <c r="H25" s="3787" t="s">
        <v>3292</v>
      </c>
      <c r="I25" s="3787">
        <v>13500</v>
      </c>
      <c r="J25" s="3787">
        <v>13500</v>
      </c>
      <c r="K25" s="3787">
        <v>1754.57</v>
      </c>
      <c r="L25" s="3784">
        <f t="shared" si="3"/>
        <v>2105</v>
      </c>
      <c r="M25" s="3787">
        <v>0</v>
      </c>
      <c r="N25" s="3787" t="s">
        <v>3294</v>
      </c>
      <c r="O25" s="3786"/>
    </row>
    <row r="26" spans="1:15" s="3792" customFormat="1" ht="27">
      <c r="A26" s="3790" t="s">
        <v>3295</v>
      </c>
      <c r="B26" s="3790" t="s">
        <v>3248</v>
      </c>
      <c r="C26" s="3790" t="s">
        <v>3249</v>
      </c>
      <c r="D26" s="3790">
        <v>39629</v>
      </c>
      <c r="E26" s="3790">
        <v>99072.5</v>
      </c>
      <c r="F26" s="3790">
        <f t="shared" si="2"/>
        <v>2.5</v>
      </c>
      <c r="G26" s="3790" t="s">
        <v>3250</v>
      </c>
      <c r="H26" s="3790" t="s">
        <v>3259</v>
      </c>
      <c r="I26" s="3790">
        <v>23000</v>
      </c>
      <c r="J26" s="3790">
        <v>23000</v>
      </c>
      <c r="K26" s="3790">
        <v>2321.5300000000002</v>
      </c>
      <c r="L26" s="3788">
        <f t="shared" si="3"/>
        <v>5804</v>
      </c>
      <c r="M26" s="3790">
        <v>0</v>
      </c>
      <c r="N26" s="3790" t="s">
        <v>3296</v>
      </c>
      <c r="O26" s="3791"/>
    </row>
    <row r="27" spans="1:15" s="2965" customFormat="1" ht="27">
      <c r="A27" s="3787" t="s">
        <v>3297</v>
      </c>
      <c r="B27" s="3787" t="s">
        <v>3248</v>
      </c>
      <c r="C27" s="3787" t="s">
        <v>3249</v>
      </c>
      <c r="D27" s="3787">
        <v>248899.6</v>
      </c>
      <c r="E27" s="3787">
        <v>323569.5</v>
      </c>
      <c r="F27" s="3787">
        <f t="shared" si="2"/>
        <v>1.3000000803536846</v>
      </c>
      <c r="G27" s="3787" t="s">
        <v>3250</v>
      </c>
      <c r="H27" s="3787" t="s">
        <v>3259</v>
      </c>
      <c r="I27" s="3787">
        <v>137194</v>
      </c>
      <c r="J27" s="3787">
        <v>137194</v>
      </c>
      <c r="K27" s="3787">
        <v>4240.0200000000004</v>
      </c>
      <c r="L27" s="3784">
        <f t="shared" si="3"/>
        <v>5512</v>
      </c>
      <c r="M27" s="3787">
        <v>0</v>
      </c>
      <c r="N27" s="3787" t="s">
        <v>3298</v>
      </c>
      <c r="O27" s="3786"/>
    </row>
    <row r="28" spans="1:15" s="2965" customFormat="1" ht="27">
      <c r="A28" s="3787" t="s">
        <v>3299</v>
      </c>
      <c r="B28" s="3787" t="s">
        <v>3248</v>
      </c>
      <c r="C28" s="3787" t="s">
        <v>3249</v>
      </c>
      <c r="D28" s="3787">
        <v>98577.600000000006</v>
      </c>
      <c r="E28" s="3787">
        <v>128150.88</v>
      </c>
      <c r="F28" s="3787">
        <f t="shared" si="2"/>
        <v>1.3</v>
      </c>
      <c r="G28" s="3787" t="s">
        <v>3250</v>
      </c>
      <c r="H28" s="3787" t="s">
        <v>3262</v>
      </c>
      <c r="I28" s="3787">
        <v>16500</v>
      </c>
      <c r="J28" s="3787">
        <v>16500</v>
      </c>
      <c r="K28" s="3787">
        <v>1287.53</v>
      </c>
      <c r="L28" s="3784">
        <f t="shared" si="3"/>
        <v>1674</v>
      </c>
      <c r="M28" s="3787">
        <v>0</v>
      </c>
      <c r="N28" s="3787" t="s">
        <v>3300</v>
      </c>
      <c r="O28" s="3786"/>
    </row>
  </sheetData>
  <mergeCells count="1">
    <mergeCell ref="A1:N1"/>
  </mergeCells>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1687</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522</v>
      </c>
      <c r="B6" s="513"/>
      <c r="C6" s="3660" t="s">
        <v>523</v>
      </c>
      <c r="D6" s="3661"/>
      <c r="E6" s="3694" t="s">
        <v>524</v>
      </c>
      <c r="F6" s="3695"/>
      <c r="G6" s="3660" t="s">
        <v>525</v>
      </c>
      <c r="H6" s="3661"/>
      <c r="I6" s="3660" t="s">
        <v>526</v>
      </c>
      <c r="J6" s="3661"/>
      <c r="K6" s="514" t="s">
        <v>527</v>
      </c>
      <c r="L6" s="2134"/>
      <c r="M6" s="2135"/>
      <c r="N6" s="2135"/>
      <c r="O6" s="2135"/>
      <c r="P6" s="3662" t="s">
        <v>528</v>
      </c>
      <c r="Q6" s="3663"/>
      <c r="R6" s="3668" t="s">
        <v>524</v>
      </c>
      <c r="S6" s="3669"/>
      <c r="T6" s="3668" t="s">
        <v>525</v>
      </c>
      <c r="U6" s="3669"/>
      <c r="V6" s="3655" t="s">
        <v>526</v>
      </c>
      <c r="W6" s="3655"/>
      <c r="X6" s="1567"/>
      <c r="Y6" s="3668" t="s">
        <v>528</v>
      </c>
      <c r="Z6" s="3669"/>
      <c r="AA6" s="3657" t="s">
        <v>524</v>
      </c>
      <c r="AB6" s="3658" t="s">
        <v>525</v>
      </c>
      <c r="AC6" s="3657" t="s">
        <v>526</v>
      </c>
    </row>
    <row r="7" spans="1:29" ht="15">
      <c r="A7" s="515"/>
      <c r="B7" s="516"/>
      <c r="C7" s="3676" t="s">
        <v>2938</v>
      </c>
      <c r="D7" s="3677"/>
      <c r="E7" s="3696" t="s">
        <v>2939</v>
      </c>
      <c r="F7" s="3697"/>
      <c r="G7" s="3676" t="s">
        <v>2940</v>
      </c>
      <c r="H7" s="3677"/>
      <c r="I7" s="3676" t="s">
        <v>2941</v>
      </c>
      <c r="J7" s="3677"/>
      <c r="K7" s="514"/>
      <c r="L7" s="2134"/>
      <c r="M7" s="2135"/>
      <c r="N7" s="2135"/>
      <c r="O7" s="2135"/>
      <c r="P7" s="3664"/>
      <c r="Q7" s="3665"/>
      <c r="R7" s="3670"/>
      <c r="S7" s="3671"/>
      <c r="T7" s="3670"/>
      <c r="U7" s="3671"/>
      <c r="V7" s="3655"/>
      <c r="W7" s="3655"/>
      <c r="X7" s="1567"/>
      <c r="Y7" s="3670"/>
      <c r="Z7" s="3671"/>
      <c r="AA7" s="3658"/>
      <c r="AB7" s="3658"/>
      <c r="AC7" s="3658"/>
    </row>
    <row r="8" spans="1:29" ht="15.75" thickBot="1">
      <c r="A8" s="517"/>
      <c r="B8" s="518"/>
      <c r="C8" s="3674" t="s">
        <v>2942</v>
      </c>
      <c r="D8" s="3675"/>
      <c r="E8" s="3692" t="s">
        <v>2942</v>
      </c>
      <c r="F8" s="3693"/>
      <c r="G8" s="3674" t="s">
        <v>2942</v>
      </c>
      <c r="H8" s="3675"/>
      <c r="I8" s="3674" t="s">
        <v>2942</v>
      </c>
      <c r="J8" s="3675"/>
      <c r="K8" s="514" t="s">
        <v>529</v>
      </c>
      <c r="L8" s="2134"/>
      <c r="M8" s="2135"/>
      <c r="N8" s="2135"/>
      <c r="O8" s="2135"/>
      <c r="P8" s="3666"/>
      <c r="Q8" s="3667"/>
      <c r="R8" s="3670"/>
      <c r="S8" s="3671"/>
      <c r="T8" s="3672"/>
      <c r="U8" s="3673"/>
      <c r="V8" s="3655"/>
      <c r="W8" s="3655"/>
      <c r="X8" s="1567"/>
      <c r="Y8" s="3672"/>
      <c r="Z8" s="3673"/>
      <c r="AA8" s="3659"/>
      <c r="AB8" s="3659"/>
      <c r="AC8" s="3659"/>
    </row>
    <row r="9" spans="1:29" s="1220" customFormat="1" ht="15.75" thickBot="1">
      <c r="A9" s="2938"/>
      <c r="B9" s="2945" t="s">
        <v>530</v>
      </c>
      <c r="C9" s="519">
        <f>'数据-取费表'!B2</f>
        <v>43167</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685" t="s">
        <v>531</v>
      </c>
      <c r="Q9" s="3687"/>
      <c r="R9" s="1568" t="s">
        <v>8</v>
      </c>
      <c r="S9" s="1569">
        <f t="shared" ref="S9:S17" si="0">F9</f>
        <v>0</v>
      </c>
      <c r="T9" s="1568" t="s">
        <v>8</v>
      </c>
      <c r="U9" s="1569">
        <f t="shared" ref="U9:U17" si="1">H9</f>
        <v>0</v>
      </c>
      <c r="V9" s="1568" t="s">
        <v>8</v>
      </c>
      <c r="W9" s="1569">
        <f t="shared" ref="W9:W17" si="2">J9</f>
        <v>0</v>
      </c>
      <c r="X9" s="1570"/>
      <c r="Y9" s="3685" t="s">
        <v>531</v>
      </c>
      <c r="Z9" s="3686"/>
      <c r="AA9" s="1571" t="e">
        <f>D9/F9</f>
        <v>#DIV/0!</v>
      </c>
      <c r="AB9" s="1571" t="e">
        <f>D9/H9</f>
        <v>#DIV/0!</v>
      </c>
      <c r="AC9" s="1571" t="e">
        <f>D9/J9</f>
        <v>#DIV/0!</v>
      </c>
    </row>
    <row r="10" spans="1:29" s="1220" customFormat="1" ht="15.75" thickBot="1">
      <c r="A10" s="2939"/>
      <c r="B10" s="294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685" t="s">
        <v>534</v>
      </c>
      <c r="Q10" s="3686"/>
      <c r="R10" s="1568" t="s">
        <v>8</v>
      </c>
      <c r="S10" s="1569">
        <f t="shared" si="0"/>
        <v>0</v>
      </c>
      <c r="T10" s="1568" t="s">
        <v>8</v>
      </c>
      <c r="U10" s="1569">
        <f t="shared" si="1"/>
        <v>0</v>
      </c>
      <c r="V10" s="1568" t="s">
        <v>8</v>
      </c>
      <c r="W10" s="1569">
        <f t="shared" si="2"/>
        <v>0</v>
      </c>
      <c r="X10" s="1570"/>
      <c r="Y10" s="3685" t="s">
        <v>534</v>
      </c>
      <c r="Z10" s="3686"/>
      <c r="AA10" s="1571" t="e">
        <f t="shared" ref="AA10:AA42" si="3">D10/F10</f>
        <v>#DIV/0!</v>
      </c>
      <c r="AB10" s="1571" t="e">
        <f t="shared" ref="AB10:AB42" si="4">D10/H10</f>
        <v>#DIV/0!</v>
      </c>
      <c r="AC10" s="1571" t="e">
        <f t="shared" ref="AC10:AC42" si="5">D10/J10</f>
        <v>#DIV/0!</v>
      </c>
    </row>
    <row r="11" spans="1:29" s="1220" customFormat="1" ht="15">
      <c r="A11" s="2940"/>
      <c r="B11" s="2947" t="s">
        <v>2763</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654" t="s">
        <v>536</v>
      </c>
      <c r="Q11" s="1151" t="str">
        <f t="shared" ref="Q11:Q17" si="6">B11</f>
        <v>用途</v>
      </c>
      <c r="R11" s="1568" t="s">
        <v>8</v>
      </c>
      <c r="S11" s="1569">
        <f t="shared" si="0"/>
        <v>100</v>
      </c>
      <c r="T11" s="1568" t="s">
        <v>8</v>
      </c>
      <c r="U11" s="1569">
        <f t="shared" si="1"/>
        <v>100</v>
      </c>
      <c r="V11" s="1568" t="s">
        <v>8</v>
      </c>
      <c r="W11" s="1569">
        <f t="shared" si="2"/>
        <v>100</v>
      </c>
      <c r="X11" s="1570"/>
      <c r="Y11" s="3600" t="s">
        <v>537</v>
      </c>
      <c r="Z11" s="1150" t="str">
        <f t="shared" ref="Z11:Z17" si="7">Q11</f>
        <v>用途</v>
      </c>
      <c r="AA11" s="1571">
        <f t="shared" si="3"/>
        <v>1</v>
      </c>
      <c r="AB11" s="1571">
        <f t="shared" si="4"/>
        <v>1</v>
      </c>
      <c r="AC11" s="1571">
        <f t="shared" si="5"/>
        <v>1</v>
      </c>
    </row>
    <row r="12" spans="1:29" s="1338" customFormat="1" ht="27">
      <c r="A12" s="2941"/>
      <c r="B12" s="2946" t="s">
        <v>2764</v>
      </c>
      <c r="C12" s="528"/>
      <c r="D12" s="255">
        <v>100</v>
      </c>
      <c r="E12" s="528"/>
      <c r="F12" s="255">
        <f>ROUND(100/'数据-取费表'!G16,0)</f>
        <v>103</v>
      </c>
      <c r="G12" s="528"/>
      <c r="H12" s="255">
        <f>ROUND(100/'数据-取费表'!G16,0)</f>
        <v>103</v>
      </c>
      <c r="I12" s="528"/>
      <c r="J12" s="255">
        <f>ROUND(100/'数据-取费表'!G16,0)</f>
        <v>103</v>
      </c>
      <c r="K12" s="531"/>
      <c r="L12" s="2139"/>
      <c r="M12" s="2179"/>
      <c r="N12" s="2179"/>
      <c r="O12" s="2140"/>
      <c r="P12" s="3654"/>
      <c r="Q12" s="1151" t="str">
        <f t="shared" si="6"/>
        <v>土地使用年限（年）</v>
      </c>
      <c r="R12" s="1568" t="s">
        <v>8</v>
      </c>
      <c r="S12" s="1569">
        <f t="shared" si="0"/>
        <v>103</v>
      </c>
      <c r="T12" s="1568" t="s">
        <v>8</v>
      </c>
      <c r="U12" s="1569">
        <f t="shared" si="1"/>
        <v>103</v>
      </c>
      <c r="V12" s="1568" t="s">
        <v>8</v>
      </c>
      <c r="W12" s="1569">
        <f t="shared" si="2"/>
        <v>103</v>
      </c>
      <c r="X12" s="1570"/>
      <c r="Y12" s="3600"/>
      <c r="Z12" s="1150" t="str">
        <f t="shared" si="7"/>
        <v>土地使用年限（年）</v>
      </c>
      <c r="AA12" s="1571">
        <f t="shared" si="3"/>
        <v>0.970873786407767</v>
      </c>
      <c r="AB12" s="1571">
        <f t="shared" si="4"/>
        <v>0.970873786407767</v>
      </c>
      <c r="AC12" s="1571">
        <f t="shared" si="5"/>
        <v>0.970873786407767</v>
      </c>
    </row>
    <row r="13" spans="1:29" ht="15">
      <c r="A13" s="2942"/>
      <c r="B13" s="2946" t="s">
        <v>2765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654"/>
      <c r="Q13" s="1151" t="str">
        <f t="shared" si="6"/>
        <v>容积率</v>
      </c>
      <c r="R13" s="1568" t="s">
        <v>8</v>
      </c>
      <c r="S13" s="1569" t="e">
        <f t="shared" si="0"/>
        <v>#N/A</v>
      </c>
      <c r="T13" s="1568" t="s">
        <v>8</v>
      </c>
      <c r="U13" s="1569" t="e">
        <f t="shared" si="1"/>
        <v>#N/A</v>
      </c>
      <c r="V13" s="1568" t="s">
        <v>8</v>
      </c>
      <c r="W13" s="1569" t="e">
        <f t="shared" si="2"/>
        <v>#N/A</v>
      </c>
      <c r="X13" s="1570"/>
      <c r="Y13" s="3600"/>
      <c r="Z13" s="1150" t="str">
        <f t="shared" si="7"/>
        <v>容积率</v>
      </c>
      <c r="AA13" s="1571" t="e">
        <f t="shared" si="3"/>
        <v>#N/A</v>
      </c>
      <c r="AB13" s="1571" t="e">
        <f t="shared" si="4"/>
        <v>#N/A</v>
      </c>
      <c r="AC13" s="1571"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654"/>
      <c r="Q14" s="1151">
        <f t="shared" si="6"/>
        <v>111</v>
      </c>
      <c r="R14" s="1568" t="s">
        <v>8</v>
      </c>
      <c r="S14" s="1569">
        <f t="shared" si="0"/>
        <v>100</v>
      </c>
      <c r="T14" s="1568" t="s">
        <v>8</v>
      </c>
      <c r="U14" s="1569">
        <f t="shared" si="1"/>
        <v>100</v>
      </c>
      <c r="V14" s="1568" t="s">
        <v>8</v>
      </c>
      <c r="W14" s="1569">
        <f t="shared" si="2"/>
        <v>100</v>
      </c>
      <c r="X14" s="1570"/>
      <c r="Y14" s="3600"/>
      <c r="Z14" s="1150">
        <f t="shared" si="7"/>
        <v>111</v>
      </c>
      <c r="AA14" s="1571">
        <f>D14/F14</f>
        <v>1</v>
      </c>
      <c r="AB14" s="1571">
        <f>D14/H14</f>
        <v>1</v>
      </c>
      <c r="AC14" s="1571">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654"/>
      <c r="Q15" s="1151">
        <f t="shared" si="6"/>
        <v>111</v>
      </c>
      <c r="R15" s="1568" t="s">
        <v>8</v>
      </c>
      <c r="S15" s="1569">
        <f t="shared" si="0"/>
        <v>100</v>
      </c>
      <c r="T15" s="1568" t="s">
        <v>8</v>
      </c>
      <c r="U15" s="1569">
        <f t="shared" si="1"/>
        <v>100</v>
      </c>
      <c r="V15" s="1568" t="s">
        <v>8</v>
      </c>
      <c r="W15" s="1569">
        <f t="shared" si="2"/>
        <v>100</v>
      </c>
      <c r="X15" s="1570"/>
      <c r="Y15" s="3600"/>
      <c r="Z15" s="1150">
        <f t="shared" si="7"/>
        <v>111</v>
      </c>
      <c r="AA15" s="1571">
        <f t="shared" si="3"/>
        <v>1</v>
      </c>
      <c r="AB15" s="1571">
        <f t="shared" si="4"/>
        <v>1</v>
      </c>
      <c r="AC15" s="1571">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654"/>
      <c r="Q16" s="1151">
        <f t="shared" si="6"/>
        <v>111</v>
      </c>
      <c r="R16" s="1568" t="s">
        <v>8</v>
      </c>
      <c r="S16" s="1569">
        <f t="shared" si="0"/>
        <v>100</v>
      </c>
      <c r="T16" s="1568" t="s">
        <v>8</v>
      </c>
      <c r="U16" s="1569">
        <f t="shared" si="1"/>
        <v>100</v>
      </c>
      <c r="V16" s="1568" t="s">
        <v>8</v>
      </c>
      <c r="W16" s="1569">
        <f t="shared" si="2"/>
        <v>100</v>
      </c>
      <c r="X16" s="1570"/>
      <c r="Y16" s="3600"/>
      <c r="Z16" s="1150">
        <f t="shared" si="7"/>
        <v>111</v>
      </c>
      <c r="AA16" s="1571">
        <f t="shared" si="3"/>
        <v>1</v>
      </c>
      <c r="AB16" s="1571">
        <f t="shared" si="4"/>
        <v>1</v>
      </c>
      <c r="AC16" s="1571">
        <f t="shared" si="5"/>
        <v>1</v>
      </c>
    </row>
    <row r="17" spans="1:29" ht="57">
      <c r="A17" s="2936" t="s">
        <v>2761</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688" t="s">
        <v>541</v>
      </c>
      <c r="Q17" s="1572" t="str">
        <f t="shared" si="6"/>
        <v>产业集聚程度</v>
      </c>
      <c r="R17" s="1573" t="s">
        <v>8</v>
      </c>
      <c r="S17" s="1574">
        <f t="shared" si="0"/>
        <v>100</v>
      </c>
      <c r="T17" s="1573" t="s">
        <v>8</v>
      </c>
      <c r="U17" s="1574">
        <f t="shared" si="1"/>
        <v>100</v>
      </c>
      <c r="V17" s="1573" t="s">
        <v>8</v>
      </c>
      <c r="W17" s="1574">
        <f t="shared" si="2"/>
        <v>100</v>
      </c>
      <c r="X17" s="1567"/>
      <c r="Y17" s="3688" t="s">
        <v>541</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689"/>
      <c r="Q18" s="1572"/>
      <c r="R18" s="1573"/>
      <c r="S18" s="1574"/>
      <c r="T18" s="1573"/>
      <c r="U18" s="1574"/>
      <c r="V18" s="1573"/>
      <c r="W18" s="1574"/>
      <c r="X18" s="1567"/>
      <c r="Y18" s="3689"/>
      <c r="Z18" s="1575"/>
      <c r="AA18" s="1576">
        <v>1</v>
      </c>
      <c r="AB18" s="1576">
        <v>1</v>
      </c>
      <c r="AC18" s="1576">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689"/>
      <c r="Q19" s="1572" t="str">
        <f>B19</f>
        <v>交通便捷度</v>
      </c>
      <c r="R19" s="1573" t="s">
        <v>8</v>
      </c>
      <c r="S19" s="1574">
        <f>F19</f>
        <v>100</v>
      </c>
      <c r="T19" s="1573" t="s">
        <v>8</v>
      </c>
      <c r="U19" s="1574">
        <f>H19</f>
        <v>100</v>
      </c>
      <c r="V19" s="1573" t="s">
        <v>8</v>
      </c>
      <c r="W19" s="1574">
        <f>J19</f>
        <v>100</v>
      </c>
      <c r="X19" s="1567"/>
      <c r="Y19" s="3689"/>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689"/>
      <c r="Q20" s="1572"/>
      <c r="R20" s="1573"/>
      <c r="S20" s="1574"/>
      <c r="T20" s="1573"/>
      <c r="U20" s="1574"/>
      <c r="V20" s="1573"/>
      <c r="W20" s="1574"/>
      <c r="X20" s="1567"/>
      <c r="Y20" s="3689"/>
      <c r="Z20" s="1575"/>
      <c r="AA20" s="1576">
        <v>1</v>
      </c>
      <c r="AB20" s="1576">
        <v>1</v>
      </c>
      <c r="AC20" s="1576">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689"/>
      <c r="Q21" s="1572" t="str">
        <f t="shared" ref="Q21:Q35" si="8">B21</f>
        <v>区域土地利用方向</v>
      </c>
      <c r="R21" s="1573" t="s">
        <v>8</v>
      </c>
      <c r="S21" s="1574">
        <f>F21</f>
        <v>100</v>
      </c>
      <c r="T21" s="1573" t="s">
        <v>8</v>
      </c>
      <c r="U21" s="1574">
        <f>H21</f>
        <v>100</v>
      </c>
      <c r="V21" s="1573" t="s">
        <v>8</v>
      </c>
      <c r="W21" s="1574">
        <f>J21</f>
        <v>100</v>
      </c>
      <c r="X21" s="1567"/>
      <c r="Y21" s="3689"/>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689"/>
      <c r="Q22" s="1572"/>
      <c r="R22" s="1573"/>
      <c r="S22" s="1574"/>
      <c r="T22" s="1573"/>
      <c r="U22" s="1574"/>
      <c r="V22" s="1573"/>
      <c r="W22" s="1574"/>
      <c r="X22" s="1567"/>
      <c r="Y22" s="3689"/>
      <c r="Z22" s="1575"/>
      <c r="AA22" s="1576"/>
      <c r="AB22" s="1576"/>
      <c r="AC22" s="1576"/>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689"/>
      <c r="Q23" s="1572" t="str">
        <f t="shared" si="8"/>
        <v>环境状况</v>
      </c>
      <c r="R23" s="1573" t="s">
        <v>8</v>
      </c>
      <c r="S23" s="1574">
        <f>F23</f>
        <v>100</v>
      </c>
      <c r="T23" s="1573" t="s">
        <v>8</v>
      </c>
      <c r="U23" s="1574">
        <f>H23</f>
        <v>100</v>
      </c>
      <c r="V23" s="1573" t="s">
        <v>8</v>
      </c>
      <c r="W23" s="1574">
        <f>J23</f>
        <v>100</v>
      </c>
      <c r="X23" s="1567"/>
      <c r="Y23" s="3689"/>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689"/>
      <c r="Q24" s="1572"/>
      <c r="R24" s="1573"/>
      <c r="S24" s="1574"/>
      <c r="T24" s="1573"/>
      <c r="U24" s="1574"/>
      <c r="V24" s="1573"/>
      <c r="W24" s="1574"/>
      <c r="X24" s="1567"/>
      <c r="Y24" s="3689"/>
      <c r="Z24" s="1575"/>
      <c r="AA24" s="1576">
        <v>1</v>
      </c>
      <c r="AB24" s="1576">
        <v>1</v>
      </c>
      <c r="AC24" s="1576">
        <v>1</v>
      </c>
    </row>
    <row r="25" spans="1:29" s="1220" customFormat="1" ht="42.75">
      <c r="A25" s="577"/>
      <c r="B25" s="2618" t="s">
        <v>2555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689"/>
      <c r="Q25" s="1151" t="str">
        <f t="shared" si="8"/>
        <v>公共配套设施</v>
      </c>
      <c r="R25" s="1568" t="s">
        <v>8</v>
      </c>
      <c r="S25" s="1569">
        <f>F25</f>
        <v>100</v>
      </c>
      <c r="T25" s="1568" t="s">
        <v>8</v>
      </c>
      <c r="U25" s="1569">
        <f>H25</f>
        <v>100</v>
      </c>
      <c r="V25" s="1568" t="s">
        <v>8</v>
      </c>
      <c r="W25" s="1569">
        <f>J25</f>
        <v>100</v>
      </c>
      <c r="X25" s="1570"/>
      <c r="Y25" s="3689"/>
      <c r="Z25" s="1150" t="str">
        <f>Q25</f>
        <v>公共配套设施</v>
      </c>
      <c r="AA25" s="1576">
        <f>D25/F25</f>
        <v>1</v>
      </c>
      <c r="AB25" s="1576">
        <f>D25/H25</f>
        <v>1</v>
      </c>
      <c r="AC25" s="1576">
        <f>D25/J25</f>
        <v>1</v>
      </c>
    </row>
    <row r="26" spans="1:29" s="1220" customFormat="1" ht="15">
      <c r="A26" s="577"/>
      <c r="B26" s="595"/>
      <c r="C26" s="2617"/>
      <c r="D26" s="555"/>
      <c r="E26" s="554"/>
      <c r="F26" s="555"/>
      <c r="G26" s="554"/>
      <c r="H26" s="555"/>
      <c r="I26" s="576"/>
      <c r="J26" s="555"/>
      <c r="K26" s="531"/>
      <c r="L26" s="2136"/>
      <c r="M26" s="2137"/>
      <c r="N26" s="2137"/>
      <c r="O26" s="2138"/>
      <c r="P26" s="3689"/>
      <c r="Q26" s="1151"/>
      <c r="R26" s="1568"/>
      <c r="S26" s="1569"/>
      <c r="T26" s="1568"/>
      <c r="U26" s="1569"/>
      <c r="V26" s="1568"/>
      <c r="W26" s="1569"/>
      <c r="X26" s="1570"/>
      <c r="Y26" s="3689"/>
      <c r="Z26" s="1150"/>
      <c r="AA26" s="1571">
        <v>1</v>
      </c>
      <c r="AB26" s="1571">
        <v>1</v>
      </c>
      <c r="AC26" s="1571">
        <v>1</v>
      </c>
    </row>
    <row r="27" spans="1:29" s="1220" customFormat="1" ht="28.5">
      <c r="A27" s="577"/>
      <c r="B27" s="2618" t="s">
        <v>2556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689"/>
      <c r="Q27" s="2603" t="str">
        <f t="shared" ref="Q27" si="9">B27</f>
        <v>基础设施水平</v>
      </c>
      <c r="R27" s="1568" t="s">
        <v>8</v>
      </c>
      <c r="S27" s="1569">
        <f>F27</f>
        <v>100</v>
      </c>
      <c r="T27" s="1568" t="s">
        <v>8</v>
      </c>
      <c r="U27" s="1569">
        <f>H27</f>
        <v>100</v>
      </c>
      <c r="V27" s="1568" t="s">
        <v>8</v>
      </c>
      <c r="W27" s="1569">
        <f>J27</f>
        <v>100</v>
      </c>
      <c r="X27" s="1570"/>
      <c r="Y27" s="3689"/>
      <c r="Z27" s="2600" t="str">
        <f>Q27</f>
        <v>基础设施水平</v>
      </c>
      <c r="AA27" s="1576">
        <f>D27/F27</f>
        <v>1</v>
      </c>
      <c r="AB27" s="1576">
        <f>D27/H27</f>
        <v>1</v>
      </c>
      <c r="AC27" s="1576">
        <f>D27/J27</f>
        <v>1</v>
      </c>
    </row>
    <row r="28" spans="1:29" s="1220" customFormat="1" ht="15">
      <c r="A28" s="577"/>
      <c r="B28" s="595"/>
      <c r="C28" s="2617"/>
      <c r="D28" s="555"/>
      <c r="E28" s="579"/>
      <c r="F28" s="555"/>
      <c r="G28" s="579"/>
      <c r="H28" s="555"/>
      <c r="I28" s="579"/>
      <c r="J28" s="555"/>
      <c r="K28" s="531"/>
      <c r="L28" s="2136"/>
      <c r="M28" s="2137"/>
      <c r="N28" s="2137"/>
      <c r="O28" s="2138"/>
      <c r="P28" s="3689"/>
      <c r="Q28" s="2603"/>
      <c r="R28" s="1568"/>
      <c r="S28" s="1569"/>
      <c r="T28" s="1568"/>
      <c r="U28" s="1569"/>
      <c r="V28" s="1568"/>
      <c r="W28" s="1569"/>
      <c r="X28" s="1570"/>
      <c r="Y28" s="3689"/>
      <c r="Z28" s="2600"/>
      <c r="AA28" s="1571">
        <v>1</v>
      </c>
      <c r="AB28" s="1571">
        <v>1</v>
      </c>
      <c r="AC28" s="1571">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689"/>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689"/>
      <c r="Z29" s="1575" t="str">
        <f t="shared" ref="Z29:Z42" si="13">Q29</f>
        <v>临街状况</v>
      </c>
      <c r="AA29" s="1576">
        <f t="shared" si="3"/>
        <v>1</v>
      </c>
      <c r="AB29" s="1576">
        <f t="shared" si="4"/>
        <v>1</v>
      </c>
      <c r="AC29" s="1576">
        <f t="shared" si="5"/>
        <v>1</v>
      </c>
    </row>
    <row r="30" spans="1:29" ht="27">
      <c r="A30" s="532"/>
      <c r="B30" s="922" t="s">
        <v>549</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689"/>
      <c r="Q30" s="1572" t="str">
        <f t="shared" si="8"/>
        <v>毗邻道路的类型与等级</v>
      </c>
      <c r="R30" s="1573" t="s">
        <v>8</v>
      </c>
      <c r="S30" s="1574">
        <f t="shared" si="10"/>
        <v>100</v>
      </c>
      <c r="T30" s="1573" t="s">
        <v>8</v>
      </c>
      <c r="U30" s="1574">
        <f t="shared" si="11"/>
        <v>100</v>
      </c>
      <c r="V30" s="1573" t="s">
        <v>8</v>
      </c>
      <c r="W30" s="1574">
        <f t="shared" si="12"/>
        <v>100</v>
      </c>
      <c r="X30" s="1567"/>
      <c r="Y30" s="3689"/>
      <c r="Z30" s="1575" t="str">
        <f t="shared" si="13"/>
        <v>毗邻道路的类型与等级</v>
      </c>
      <c r="AA30" s="1576">
        <f t="shared" si="3"/>
        <v>1</v>
      </c>
      <c r="AB30" s="1576">
        <f t="shared" si="4"/>
        <v>1</v>
      </c>
      <c r="AC30" s="1576">
        <f t="shared" si="5"/>
        <v>1</v>
      </c>
    </row>
    <row r="31" spans="1:29" ht="15">
      <c r="A31" s="532"/>
      <c r="B31" s="595"/>
      <c r="C31" s="576"/>
      <c r="D31" s="555"/>
      <c r="E31" s="554"/>
      <c r="F31" s="555"/>
      <c r="G31" s="554"/>
      <c r="H31" s="555"/>
      <c r="I31" s="576"/>
      <c r="J31" s="555"/>
      <c r="K31" s="581"/>
      <c r="L31" s="2143"/>
      <c r="M31" s="2135"/>
      <c r="N31" s="2135"/>
      <c r="O31" s="2142"/>
      <c r="P31" s="3689"/>
      <c r="Q31" s="1572"/>
      <c r="R31" s="1573"/>
      <c r="S31" s="1574"/>
      <c r="T31" s="1573"/>
      <c r="U31" s="1574"/>
      <c r="V31" s="1573"/>
      <c r="W31" s="1574"/>
      <c r="X31" s="1567"/>
      <c r="Y31" s="3689"/>
      <c r="Z31" s="1575"/>
      <c r="AA31" s="1576">
        <v>1</v>
      </c>
      <c r="AB31" s="1576">
        <v>1</v>
      </c>
      <c r="AC31" s="1576">
        <v>1</v>
      </c>
    </row>
    <row r="32" spans="1:29" ht="15">
      <c r="A32" s="532"/>
      <c r="B32" s="527" t="s">
        <v>550</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689"/>
      <c r="Q32" s="1572" t="str">
        <f t="shared" si="8"/>
        <v>土地级别</v>
      </c>
      <c r="R32" s="1573" t="s">
        <v>8</v>
      </c>
      <c r="S32" s="1574">
        <f t="shared" si="10"/>
        <v>100</v>
      </c>
      <c r="T32" s="1573" t="s">
        <v>8</v>
      </c>
      <c r="U32" s="1574">
        <f t="shared" si="11"/>
        <v>100</v>
      </c>
      <c r="V32" s="1573" t="s">
        <v>8</v>
      </c>
      <c r="W32" s="1574">
        <f t="shared" si="12"/>
        <v>100</v>
      </c>
      <c r="X32" s="1567"/>
      <c r="Y32" s="3689"/>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689"/>
      <c r="Q33" s="1572">
        <f t="shared" si="8"/>
        <v>111</v>
      </c>
      <c r="R33" s="1573" t="s">
        <v>8</v>
      </c>
      <c r="S33" s="1574">
        <f t="shared" si="10"/>
        <v>100</v>
      </c>
      <c r="T33" s="1573" t="s">
        <v>8</v>
      </c>
      <c r="U33" s="1574">
        <f t="shared" si="11"/>
        <v>100</v>
      </c>
      <c r="V33" s="1573" t="s">
        <v>8</v>
      </c>
      <c r="W33" s="1574">
        <f t="shared" si="12"/>
        <v>100</v>
      </c>
      <c r="X33" s="1567"/>
      <c r="Y33" s="3689"/>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690" t="s">
        <v>551</v>
      </c>
      <c r="Q34" s="1572">
        <f t="shared" si="8"/>
        <v>111</v>
      </c>
      <c r="R34" s="1573" t="s">
        <v>8</v>
      </c>
      <c r="S34" s="1574">
        <f t="shared" si="10"/>
        <v>100</v>
      </c>
      <c r="T34" s="1573" t="s">
        <v>8</v>
      </c>
      <c r="U34" s="1574">
        <f t="shared" si="11"/>
        <v>100</v>
      </c>
      <c r="V34" s="1573" t="s">
        <v>8</v>
      </c>
      <c r="W34" s="1574">
        <f t="shared" si="12"/>
        <v>100</v>
      </c>
      <c r="X34" s="1567"/>
      <c r="Y34" s="3691" t="s">
        <v>551</v>
      </c>
      <c r="Z34" s="1575">
        <f t="shared" si="13"/>
        <v>111</v>
      </c>
      <c r="AA34" s="1576">
        <f t="shared" si="3"/>
        <v>1</v>
      </c>
      <c r="AB34" s="1576">
        <f t="shared" si="4"/>
        <v>1</v>
      </c>
      <c r="AC34" s="1576">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691"/>
      <c r="Q35" s="1572">
        <f t="shared" si="8"/>
        <v>111</v>
      </c>
      <c r="R35" s="1577" t="s">
        <v>8</v>
      </c>
      <c r="S35" s="1578">
        <f t="shared" si="10"/>
        <v>100</v>
      </c>
      <c r="T35" s="1577" t="s">
        <v>8</v>
      </c>
      <c r="U35" s="1578">
        <f t="shared" si="11"/>
        <v>100</v>
      </c>
      <c r="V35" s="1577" t="s">
        <v>8</v>
      </c>
      <c r="W35" s="1578">
        <f t="shared" si="12"/>
        <v>100</v>
      </c>
      <c r="X35" s="1579"/>
      <c r="Y35" s="3691"/>
      <c r="Z35" s="1580">
        <f t="shared" si="13"/>
        <v>111</v>
      </c>
      <c r="AA35" s="1576">
        <f t="shared" si="3"/>
        <v>1</v>
      </c>
      <c r="AB35" s="1576">
        <f t="shared" si="4"/>
        <v>1</v>
      </c>
      <c r="AC35" s="1576">
        <f t="shared" si="5"/>
        <v>1</v>
      </c>
    </row>
    <row r="36" spans="1:29" ht="15">
      <c r="A36" s="2933" t="s">
        <v>2762</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691"/>
      <c r="Q36" s="1572" t="str">
        <f>B36</f>
        <v>宗地面积</v>
      </c>
      <c r="R36" s="1573" t="s">
        <v>8</v>
      </c>
      <c r="S36" s="1574" t="e">
        <f t="shared" si="10"/>
        <v>#N/A</v>
      </c>
      <c r="T36" s="1573" t="s">
        <v>8</v>
      </c>
      <c r="U36" s="1574" t="e">
        <f t="shared" si="11"/>
        <v>#N/A</v>
      </c>
      <c r="V36" s="1573" t="s">
        <v>8</v>
      </c>
      <c r="W36" s="1574" t="e">
        <f t="shared" si="12"/>
        <v>#N/A</v>
      </c>
      <c r="X36" s="1567"/>
      <c r="Y36" s="3691"/>
      <c r="Z36" s="1575" t="str">
        <f t="shared" si="13"/>
        <v>宗地面积</v>
      </c>
      <c r="AA36" s="1576" t="e">
        <f t="shared" si="3"/>
        <v>#N/A</v>
      </c>
      <c r="AB36" s="1576" t="e">
        <f t="shared" si="4"/>
        <v>#N/A</v>
      </c>
      <c r="AC36" s="1576"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691"/>
      <c r="Q37" s="1572" t="str">
        <f t="shared" ref="Q37:Q42" si="14">B37</f>
        <v>宗地形状</v>
      </c>
      <c r="R37" s="1573" t="s">
        <v>8</v>
      </c>
      <c r="S37" s="1574">
        <f t="shared" si="10"/>
        <v>100</v>
      </c>
      <c r="T37" s="1573" t="s">
        <v>8</v>
      </c>
      <c r="U37" s="1574">
        <f t="shared" si="11"/>
        <v>100</v>
      </c>
      <c r="V37" s="1573" t="s">
        <v>8</v>
      </c>
      <c r="W37" s="1574">
        <f t="shared" si="12"/>
        <v>100</v>
      </c>
      <c r="X37" s="1567"/>
      <c r="Y37" s="3691"/>
      <c r="Z37" s="1575" t="str">
        <f t="shared" si="13"/>
        <v>宗地形状</v>
      </c>
      <c r="AA37" s="1576">
        <f t="shared" si="3"/>
        <v>1</v>
      </c>
      <c r="AB37" s="1576">
        <f t="shared" si="4"/>
        <v>1</v>
      </c>
      <c r="AC37" s="1576">
        <f t="shared" si="5"/>
        <v>1</v>
      </c>
    </row>
    <row r="38" spans="1:29" s="1220" customFormat="1" ht="15">
      <c r="A38" s="600"/>
      <c r="B38" s="1896" t="s">
        <v>2429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691"/>
      <c r="Q38" s="1572" t="str">
        <f t="shared" si="14"/>
        <v>宗地开发程度</v>
      </c>
      <c r="R38" s="1568" t="s">
        <v>8</v>
      </c>
      <c r="S38" s="1569">
        <f t="shared" si="10"/>
        <v>100</v>
      </c>
      <c r="T38" s="1568" t="s">
        <v>8</v>
      </c>
      <c r="U38" s="1569">
        <f t="shared" si="11"/>
        <v>100</v>
      </c>
      <c r="V38" s="1568" t="s">
        <v>8</v>
      </c>
      <c r="W38" s="1569">
        <f t="shared" si="12"/>
        <v>100</v>
      </c>
      <c r="X38" s="1570"/>
      <c r="Y38" s="3691"/>
      <c r="Z38" s="1150" t="str">
        <f t="shared" si="13"/>
        <v>宗地开发程度</v>
      </c>
      <c r="AA38" s="1571">
        <f t="shared" si="3"/>
        <v>1</v>
      </c>
      <c r="AB38" s="1571">
        <f t="shared" si="4"/>
        <v>1</v>
      </c>
      <c r="AC38" s="1571">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691" t="s">
        <v>602</v>
      </c>
      <c r="Q39" s="1572" t="str">
        <f t="shared" si="14"/>
        <v>工程地质条件</v>
      </c>
      <c r="R39" s="1573" t="s">
        <v>8</v>
      </c>
      <c r="S39" s="1574">
        <f t="shared" si="10"/>
        <v>100</v>
      </c>
      <c r="T39" s="1573" t="s">
        <v>8</v>
      </c>
      <c r="U39" s="1574">
        <f t="shared" si="11"/>
        <v>100</v>
      </c>
      <c r="V39" s="1573" t="s">
        <v>8</v>
      </c>
      <c r="W39" s="1574">
        <f t="shared" si="12"/>
        <v>100</v>
      </c>
      <c r="X39" s="1567"/>
      <c r="Y39" s="3691" t="s">
        <v>602</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691"/>
      <c r="Q40" s="1572">
        <f t="shared" si="14"/>
        <v>111</v>
      </c>
      <c r="R40" s="1573" t="s">
        <v>8</v>
      </c>
      <c r="S40" s="1574">
        <f t="shared" si="10"/>
        <v>100</v>
      </c>
      <c r="T40" s="1573" t="s">
        <v>8</v>
      </c>
      <c r="U40" s="1574">
        <f t="shared" si="11"/>
        <v>100</v>
      </c>
      <c r="V40" s="1573" t="s">
        <v>8</v>
      </c>
      <c r="W40" s="1574">
        <f t="shared" si="12"/>
        <v>100</v>
      </c>
      <c r="X40" s="1567"/>
      <c r="Y40" s="3691"/>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691"/>
      <c r="Q41" s="1572">
        <f t="shared" si="14"/>
        <v>111</v>
      </c>
      <c r="R41" s="1573" t="s">
        <v>8</v>
      </c>
      <c r="S41" s="1574">
        <f t="shared" si="10"/>
        <v>100</v>
      </c>
      <c r="T41" s="1573" t="s">
        <v>8</v>
      </c>
      <c r="U41" s="1574">
        <f t="shared" si="11"/>
        <v>100</v>
      </c>
      <c r="V41" s="1573" t="s">
        <v>8</v>
      </c>
      <c r="W41" s="1574">
        <f t="shared" si="12"/>
        <v>100</v>
      </c>
      <c r="X41" s="1567"/>
      <c r="Y41" s="3691"/>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691"/>
      <c r="Q42" s="1572">
        <f t="shared" si="14"/>
        <v>111</v>
      </c>
      <c r="R42" s="1577" t="s">
        <v>8</v>
      </c>
      <c r="S42" s="1578">
        <f t="shared" si="10"/>
        <v>100</v>
      </c>
      <c r="T42" s="1577" t="s">
        <v>8</v>
      </c>
      <c r="U42" s="1578">
        <f t="shared" si="11"/>
        <v>100</v>
      </c>
      <c r="V42" s="1577" t="s">
        <v>8</v>
      </c>
      <c r="W42" s="1578">
        <f t="shared" si="12"/>
        <v>100</v>
      </c>
      <c r="X42" s="1579"/>
      <c r="Y42" s="3691"/>
      <c r="Z42" s="1580">
        <f t="shared" si="13"/>
        <v>111</v>
      </c>
      <c r="AA42" s="1576">
        <f t="shared" si="3"/>
        <v>1</v>
      </c>
      <c r="AB42" s="1576">
        <f t="shared" si="4"/>
        <v>1</v>
      </c>
      <c r="AC42" s="1576">
        <f t="shared" si="5"/>
        <v>1</v>
      </c>
    </row>
    <row r="43" spans="1:29" ht="15">
      <c r="A43" s="607" t="s">
        <v>557</v>
      </c>
      <c r="B43" s="608" t="s">
        <v>2943</v>
      </c>
      <c r="C43" s="609" t="s">
        <v>1</v>
      </c>
      <c r="D43" s="610"/>
      <c r="E43" s="611"/>
      <c r="F43" s="612"/>
      <c r="G43" s="613"/>
      <c r="H43" s="614"/>
      <c r="I43" s="611"/>
      <c r="J43" s="614"/>
      <c r="K43" s="1340"/>
      <c r="L43" s="2145"/>
      <c r="M43" s="2135"/>
      <c r="N43" s="2135"/>
      <c r="O43" s="2146"/>
      <c r="P43" s="3654" t="str">
        <f>A43</f>
        <v>成交单价</v>
      </c>
      <c r="Q43" s="3654"/>
      <c r="R43" s="3655">
        <f>E43</f>
        <v>0</v>
      </c>
      <c r="S43" s="3655"/>
      <c r="T43" s="3655">
        <f>G43</f>
        <v>0</v>
      </c>
      <c r="U43" s="3655"/>
      <c r="V43" s="3655">
        <f>I43</f>
        <v>0</v>
      </c>
      <c r="W43" s="3655"/>
      <c r="X43" s="1559"/>
      <c r="Y43" s="1581"/>
      <c r="Z43" s="1559"/>
      <c r="AA43" s="1559"/>
      <c r="AB43" s="1559"/>
      <c r="AC43" s="1559"/>
    </row>
    <row r="44" spans="1:29" ht="15.75" thickBot="1">
      <c r="A44" s="615" t="s">
        <v>2700</v>
      </c>
      <c r="B44" s="616"/>
      <c r="C44" s="617" t="e">
        <f>R45</f>
        <v>#DIV/0!</v>
      </c>
      <c r="D44" s="618"/>
      <c r="E44" s="617" t="e">
        <f>R44</f>
        <v>#DIV/0!</v>
      </c>
      <c r="F44" s="619"/>
      <c r="G44" s="620" t="e">
        <f>T44</f>
        <v>#DIV/0!</v>
      </c>
      <c r="H44" s="618"/>
      <c r="I44" s="617" t="e">
        <f>V44</f>
        <v>#DIV/0!</v>
      </c>
      <c r="J44" s="618"/>
      <c r="K44" s="1341"/>
      <c r="L44" s="2145"/>
      <c r="M44" s="2135"/>
      <c r="N44" s="2135"/>
      <c r="O44" s="2146"/>
      <c r="P44" s="3654" t="str">
        <f>A44</f>
        <v>比较价格（元/平方米）</v>
      </c>
      <c r="Q44" s="3654"/>
      <c r="R44" s="3656" t="e">
        <f>ROUND(PRODUCT(R43,AA9:AA42),0)</f>
        <v>#DIV/0!</v>
      </c>
      <c r="S44" s="3656"/>
      <c r="T44" s="3656" t="e">
        <f>ROUND(PRODUCT(T43,AB9:AB42),0)</f>
        <v>#DIV/0!</v>
      </c>
      <c r="U44" s="3656"/>
      <c r="V44" s="3656" t="e">
        <f>ROUND(PRODUCT(V43,AC9:AC42),0)</f>
        <v>#DIV/0!</v>
      </c>
      <c r="W44" s="3656"/>
      <c r="X44" s="1559"/>
      <c r="Y44" s="1559"/>
      <c r="Z44" s="1559"/>
      <c r="AA44" s="1559"/>
      <c r="AB44" s="1559"/>
      <c r="AC44" s="1559"/>
    </row>
    <row r="45" spans="1:29" ht="15.75" thickBot="1">
      <c r="A45" s="621" t="s">
        <v>2944</v>
      </c>
      <c r="B45" s="622"/>
      <c r="C45" s="623" t="e">
        <f>R45</f>
        <v>#DIV/0!</v>
      </c>
      <c r="D45" s="623"/>
      <c r="E45" s="623"/>
      <c r="F45" s="623"/>
      <c r="G45" s="623"/>
      <c r="H45" s="623"/>
      <c r="I45" s="623"/>
      <c r="J45" s="623"/>
      <c r="K45" s="1342"/>
      <c r="L45" s="2145"/>
      <c r="M45" s="2135"/>
      <c r="N45" s="2135"/>
      <c r="O45" s="2146"/>
      <c r="P45" s="3651" t="str">
        <f>A45</f>
        <v>估价对象XX用房的比较价格（楼面单价，元/平方米）</v>
      </c>
      <c r="Q45" s="3652"/>
      <c r="R45" s="3653" t="e">
        <f>ROUND(AVERAGE(R44:V44),0)</f>
        <v>#DIV/0!</v>
      </c>
      <c r="S45" s="3653"/>
      <c r="T45" s="3653"/>
      <c r="U45" s="3653"/>
      <c r="V45" s="3653"/>
      <c r="W45" s="3653"/>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0" t="s">
        <v>1726</v>
      </c>
      <c r="D52" s="2228" t="s">
        <v>2297</v>
      </c>
      <c r="E52" s="631" t="s">
        <v>563</v>
      </c>
      <c r="F52" s="1952" t="s">
        <v>564</v>
      </c>
      <c r="G52" s="3698" t="s">
        <v>2288</v>
      </c>
      <c r="H52" s="3699"/>
      <c r="I52" s="1953" t="s">
        <v>1949</v>
      </c>
      <c r="J52" s="1555">
        <f>项目基本情况!F41</f>
        <v>0</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565</v>
      </c>
      <c r="B53" s="634" t="e">
        <f>C45</f>
        <v>#DIV/0!</v>
      </c>
      <c r="C53" s="635">
        <v>1</v>
      </c>
      <c r="D53" s="2229">
        <v>1</v>
      </c>
      <c r="E53" s="635">
        <f>'数据-汇总表'!E8+'数据-汇总表'!E9</f>
        <v>381071.8</v>
      </c>
      <c r="F53" s="1951" t="e">
        <f t="shared" ref="F53:F62" si="15">ROUND(B53*E53/10000,0)</f>
        <v>#DIV/0!</v>
      </c>
      <c r="G53" s="3700"/>
      <c r="H53" s="3701"/>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566</v>
      </c>
      <c r="B54" s="638" t="e">
        <f>ROUND($C$45*C54*D54,0)</f>
        <v>#DIV/0!</v>
      </c>
      <c r="C54" s="378">
        <f t="shared" ref="C54:C62" si="16">IF($C$52="北京市系数",I54,J54)</f>
        <v>0</v>
      </c>
      <c r="D54" s="2230">
        <v>0.25</v>
      </c>
      <c r="E54" s="639"/>
      <c r="F54" s="1951" t="e">
        <f t="shared" si="15"/>
        <v>#DIV/0!</v>
      </c>
      <c r="G54" s="3702" t="s">
        <v>2289</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567</v>
      </c>
      <c r="B55" s="638" t="e">
        <f t="shared" ref="B55:B62" si="17">ROUND($C$45*C55*D55,0)</f>
        <v>#DIV/0!</v>
      </c>
      <c r="C55" s="378">
        <f t="shared" si="16"/>
        <v>0</v>
      </c>
      <c r="D55" s="2230">
        <v>0.25</v>
      </c>
      <c r="E55" s="639"/>
      <c r="F55" s="1951" t="e">
        <f t="shared" si="15"/>
        <v>#DIV/0!</v>
      </c>
      <c r="G55" s="3702"/>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568</v>
      </c>
      <c r="B56" s="638" t="e">
        <f t="shared" si="17"/>
        <v>#DIV/0!</v>
      </c>
      <c r="C56" s="378">
        <f t="shared" si="16"/>
        <v>0</v>
      </c>
      <c r="D56" s="2230">
        <v>0.25</v>
      </c>
      <c r="E56" s="639"/>
      <c r="F56" s="1951" t="e">
        <f t="shared" si="15"/>
        <v>#DIV/0!</v>
      </c>
      <c r="G56" s="3702"/>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569</v>
      </c>
      <c r="B57" s="638" t="e">
        <f t="shared" si="17"/>
        <v>#DIV/0!</v>
      </c>
      <c r="C57" s="378">
        <f t="shared" si="16"/>
        <v>0</v>
      </c>
      <c r="D57" s="2230">
        <v>0.25</v>
      </c>
      <c r="E57" s="639"/>
      <c r="F57" s="1951" t="e">
        <f t="shared" si="15"/>
        <v>#DIV/0!</v>
      </c>
      <c r="G57" s="3702"/>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2332</v>
      </c>
      <c r="B58" s="638" t="e">
        <f t="shared" si="17"/>
        <v>#DIV/0!</v>
      </c>
      <c r="C58" s="378">
        <f t="shared" si="16"/>
        <v>0</v>
      </c>
      <c r="D58" s="2230">
        <v>0.25</v>
      </c>
      <c r="E58" s="641">
        <f>'数据-汇总表'!E11</f>
        <v>0</v>
      </c>
      <c r="F58" s="1951" t="e">
        <f t="shared" si="15"/>
        <v>#DIV/0!</v>
      </c>
      <c r="G58" s="1957" t="s">
        <v>2290</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570</v>
      </c>
      <c r="B59" s="638" t="e">
        <f t="shared" si="17"/>
        <v>#DIV/0!</v>
      </c>
      <c r="C59" s="378">
        <f t="shared" si="16"/>
        <v>0</v>
      </c>
      <c r="D59" s="2230">
        <v>0.25</v>
      </c>
      <c r="E59" s="641">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571</v>
      </c>
      <c r="B60" s="638" t="e">
        <f t="shared" si="17"/>
        <v>#DIV/0!</v>
      </c>
      <c r="C60" s="378">
        <f t="shared" si="16"/>
        <v>0</v>
      </c>
      <c r="D60" s="2230">
        <v>0.25</v>
      </c>
      <c r="E60" s="641">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572</v>
      </c>
      <c r="B61" s="638" t="e">
        <f t="shared" si="17"/>
        <v>#DIV/0!</v>
      </c>
      <c r="C61" s="378">
        <f t="shared" si="16"/>
        <v>0</v>
      </c>
      <c r="D61" s="2230">
        <v>0.25</v>
      </c>
      <c r="E61" s="641">
        <f>'数据-汇总表'!E14</f>
        <v>73057.8</v>
      </c>
      <c r="F61" s="1951" t="e">
        <f t="shared" si="15"/>
        <v>#DIV/0!</v>
      </c>
      <c r="G61" s="1957" t="s">
        <v>2289</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573</v>
      </c>
      <c r="B62" s="638" t="e">
        <f t="shared" si="17"/>
        <v>#DIV/0!</v>
      </c>
      <c r="C62" s="378">
        <f t="shared" si="16"/>
        <v>0</v>
      </c>
      <c r="D62" s="2230">
        <v>0.25</v>
      </c>
      <c r="E62" s="641">
        <f>'数据-汇总表'!E15</f>
        <v>0</v>
      </c>
      <c r="F62" s="1951" t="e">
        <f t="shared" si="15"/>
        <v>#DIV/0!</v>
      </c>
      <c r="G62" s="1958" t="s">
        <v>2290</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574</v>
      </c>
      <c r="B63" s="643" t="s">
        <v>17</v>
      </c>
      <c r="C63" s="643" t="s">
        <v>18</v>
      </c>
      <c r="D63" s="643" t="s">
        <v>2298</v>
      </c>
      <c r="E63" s="643">
        <f>IF(B43="楼面地价",SUM(E53:E62),'数据-汇总表'!D3)</f>
        <v>69347.5</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6" t="str">
        <f>YEAR(C9)&amp;"-"&amp;MONTH(C9)&amp;"-1"</f>
        <v>2018-3-1</v>
      </c>
      <c r="D65" s="2825">
        <f>EDATE(C65,-3)</f>
        <v>43070</v>
      </c>
      <c r="E65" s="2825">
        <f t="shared" ref="E65:N65" si="18">EDATE(D65,-3)</f>
        <v>42979</v>
      </c>
      <c r="F65" s="2825">
        <f t="shared" si="18"/>
        <v>42887</v>
      </c>
      <c r="G65" s="2825">
        <f t="shared" si="18"/>
        <v>42795</v>
      </c>
      <c r="H65" s="2825">
        <f t="shared" si="18"/>
        <v>42705</v>
      </c>
      <c r="I65" s="2825">
        <f t="shared" si="18"/>
        <v>42614</v>
      </c>
      <c r="J65" s="2825">
        <f t="shared" si="18"/>
        <v>42522</v>
      </c>
      <c r="K65" s="2825">
        <f t="shared" si="18"/>
        <v>42430</v>
      </c>
      <c r="L65" s="2825">
        <f t="shared" si="18"/>
        <v>42339</v>
      </c>
      <c r="M65" s="2825">
        <f t="shared" si="18"/>
        <v>42248</v>
      </c>
      <c r="N65" s="2825">
        <f t="shared" si="18"/>
        <v>42156</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2540</v>
      </c>
      <c r="B67" s="646"/>
      <c r="C67" s="2820" t="str">
        <f>YEAR(C65)&amp;"-"&amp;ROUNDUP(MONTH(C65)/3,0)</f>
        <v>2018-1</v>
      </c>
      <c r="D67" s="2827" t="str">
        <f t="shared" ref="D67:N67" si="19">YEAR(D65)&amp;"-"&amp;ROUNDUP(MONTH(D65)/3,0)</f>
        <v>2017-4</v>
      </c>
      <c r="E67" s="2827" t="str">
        <f t="shared" si="19"/>
        <v>2017-3</v>
      </c>
      <c r="F67" s="2827" t="str">
        <f t="shared" si="19"/>
        <v>2017-2</v>
      </c>
      <c r="G67" s="2827" t="str">
        <f t="shared" si="19"/>
        <v>2017-1</v>
      </c>
      <c r="H67" s="2827" t="str">
        <f t="shared" si="19"/>
        <v>2016-4</v>
      </c>
      <c r="I67" s="2827" t="str">
        <f t="shared" si="19"/>
        <v>2016-3</v>
      </c>
      <c r="J67" s="2827" t="str">
        <f t="shared" si="19"/>
        <v>2016-2</v>
      </c>
      <c r="K67" s="2827" t="str">
        <f t="shared" si="19"/>
        <v>2016-1</v>
      </c>
      <c r="L67" s="2827" t="str">
        <f t="shared" si="19"/>
        <v>2015-4</v>
      </c>
      <c r="M67" s="2827" t="str">
        <f t="shared" si="19"/>
        <v>2015-3</v>
      </c>
      <c r="N67" s="2827" t="str">
        <f t="shared" si="19"/>
        <v>2015-2</v>
      </c>
      <c r="O67" s="2160"/>
      <c r="P67" s="2161"/>
      <c r="Q67" s="2162"/>
      <c r="R67" s="2162"/>
      <c r="S67" s="2162"/>
      <c r="T67" s="2162"/>
      <c r="U67" s="2162"/>
      <c r="V67" s="2162"/>
      <c r="W67" s="2162"/>
      <c r="X67" s="2162"/>
      <c r="Y67" s="2162"/>
      <c r="Z67" s="2162"/>
      <c r="AA67" s="2162"/>
      <c r="AB67" s="2162"/>
      <c r="AC67" s="2162"/>
    </row>
    <row r="68" spans="1:29" s="1220" customFormat="1" ht="27.75" customHeight="1">
      <c r="A68" s="2824" t="s">
        <v>2656</v>
      </c>
      <c r="B68" s="479" t="str">
        <f>"北京市平均增长率"&amp;TEXT(基准地价!P24,"0.00%")</f>
        <v>北京市平均增长率1.31%</v>
      </c>
      <c r="C68" s="894">
        <v>100</v>
      </c>
      <c r="D68" s="730"/>
      <c r="E68" s="730"/>
      <c r="F68" s="730"/>
      <c r="G68" s="730"/>
      <c r="H68" s="730"/>
      <c r="I68" s="730"/>
      <c r="J68" s="730"/>
      <c r="K68" s="730"/>
      <c r="L68" s="730"/>
      <c r="M68" s="2818"/>
      <c r="N68" s="2819"/>
      <c r="O68" s="2163"/>
      <c r="P68" s="2159"/>
      <c r="Q68" s="1994"/>
      <c r="R68" s="1994"/>
      <c r="S68" s="1994"/>
      <c r="T68" s="1994"/>
      <c r="U68" s="1994"/>
      <c r="V68" s="1994"/>
      <c r="W68" s="1994"/>
      <c r="X68" s="1994"/>
      <c r="Y68" s="1994"/>
      <c r="Z68" s="1994"/>
      <c r="AA68" s="1994"/>
      <c r="AB68" s="1994"/>
      <c r="AC68" s="1994"/>
    </row>
    <row r="69" spans="1:29" s="1220" customFormat="1" ht="15.75" thickBot="1">
      <c r="A69" s="653" t="s">
        <v>576</v>
      </c>
      <c r="B69" s="654"/>
      <c r="C69" s="2816"/>
      <c r="D69" s="2817"/>
      <c r="E69" s="2817"/>
      <c r="F69" s="2817"/>
      <c r="G69" s="2817"/>
      <c r="H69" s="2817"/>
      <c r="I69" s="2817"/>
      <c r="J69" s="2817"/>
      <c r="K69" s="2817"/>
      <c r="L69" s="2817"/>
      <c r="M69" s="2817"/>
      <c r="N69" s="2817"/>
      <c r="O69" s="2163"/>
      <c r="P69" s="2159"/>
      <c r="Q69" s="2159"/>
      <c r="R69" s="1994"/>
      <c r="S69" s="1994"/>
      <c r="T69" s="1994"/>
      <c r="U69" s="1994"/>
      <c r="V69" s="1994"/>
      <c r="W69" s="1994"/>
      <c r="X69" s="1994"/>
      <c r="Y69" s="1994"/>
      <c r="Z69" s="1994"/>
      <c r="AA69" s="1994"/>
      <c r="AB69" s="1994"/>
      <c r="AC69" s="1994"/>
    </row>
    <row r="70" spans="1:29" s="1220"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2555</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2557</v>
      </c>
      <c r="C95" s="2623" t="s">
        <v>2558</v>
      </c>
      <c r="D95" s="2623" t="s">
        <v>2559</v>
      </c>
      <c r="E95" s="2623" t="s">
        <v>2560</v>
      </c>
      <c r="F95" s="2623" t="s">
        <v>2561</v>
      </c>
      <c r="G95" s="2623" t="s">
        <v>2562</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2430</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2431</v>
      </c>
      <c r="D1" s="1521">
        <f>SUM(D29:D30,D33:D39)</f>
        <v>0</v>
      </c>
      <c r="E1" s="1406" t="s">
        <v>2432</v>
      </c>
      <c r="F1" s="2477"/>
      <c r="G1" s="1401"/>
      <c r="H1" s="1401"/>
      <c r="I1" s="1401"/>
      <c r="J1" s="1401"/>
      <c r="K1" s="1401"/>
      <c r="L1" s="1883" t="s">
        <v>2242</v>
      </c>
      <c r="M1" s="1884">
        <f>SUMPRODUCT((区片价!B5:B9=I2)*(区片价!C3:F3=E2)*(区片价!C5:F9))</f>
        <v>0</v>
      </c>
      <c r="N1" s="1885">
        <f>SUMPRODUCT((因素修正幅度!B5:B9=I2)*(因素修正幅度!C3:F3=E2)*(因素修正幅度!C5:F9))</f>
        <v>0</v>
      </c>
      <c r="O1" s="2190"/>
      <c r="P1" s="2190"/>
      <c r="Q1" s="2190"/>
      <c r="R1" s="2962" t="s">
        <v>2769</v>
      </c>
      <c r="S1" s="2962" t="s">
        <v>2770</v>
      </c>
      <c r="T1" s="2962" t="s">
        <v>2791</v>
      </c>
      <c r="U1" s="2962" t="s">
        <v>2792</v>
      </c>
      <c r="V1" s="2962" t="s">
        <v>2793</v>
      </c>
      <c r="W1" s="2190"/>
      <c r="X1" s="2190"/>
      <c r="Y1" s="2190"/>
      <c r="Z1" s="2190"/>
      <c r="AA1" s="2190"/>
      <c r="AB1" s="2190"/>
      <c r="AC1" s="2191"/>
    </row>
    <row r="2" spans="1:39" ht="15.75">
      <c r="A2" s="1406" t="s">
        <v>921</v>
      </c>
      <c r="B2" s="1038"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6" t="s">
        <v>2243</v>
      </c>
      <c r="M2" s="1887">
        <f>SUMPRODUCT((区片价!B10:B28=I2)*(区片价!C3:F3=E2)*(区片价!C10:F28))</f>
        <v>0</v>
      </c>
      <c r="N2" s="1888">
        <f>SUMPRODUCT((因素修正幅度!B10:B28=I2)*(因素修正幅度!C3:F3=E2)*(因素修正幅度!C10:F28))</f>
        <v>0</v>
      </c>
      <c r="O2" s="2190"/>
      <c r="P2" s="2190"/>
      <c r="Q2" s="2190"/>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0"/>
      <c r="X2" s="2190"/>
      <c r="Y2" s="2190"/>
      <c r="Z2" s="2190"/>
      <c r="AA2" s="2190"/>
      <c r="AB2" s="2190"/>
      <c r="AC2" s="2191"/>
    </row>
    <row r="3" spans="1:39" ht="15.75">
      <c r="A3" s="1411" t="s">
        <v>1689</v>
      </c>
      <c r="B3" s="1038" t="e">
        <f>ROUND(B2*10000/D1,0)</f>
        <v>#DIV/0!</v>
      </c>
      <c r="C3" s="1407" t="s">
        <v>928</v>
      </c>
      <c r="D3" s="1408" t="s">
        <v>929</v>
      </c>
      <c r="E3" s="1412"/>
      <c r="F3" s="1413" t="s">
        <v>2945</v>
      </c>
      <c r="G3" s="1039">
        <f>IF(F3="宗地容积率",'数据-汇总表'!I4,IF(F3="估价对象容积率",'数据-汇总表'!I6,'数据-汇总表'!I7))</f>
        <v>5.68</v>
      </c>
      <c r="H3" s="1414" t="s">
        <v>930</v>
      </c>
      <c r="I3" s="1040">
        <v>8</v>
      </c>
      <c r="J3" s="1410" t="s">
        <v>931</v>
      </c>
      <c r="K3" s="1401"/>
      <c r="L3" s="1886" t="s">
        <v>2244</v>
      </c>
      <c r="M3" s="1887">
        <f>SUMPRODUCT((区片价!B29:B48=I2)*(区片价!C3:F3=E2)*(区片价!C29:F48))</f>
        <v>0</v>
      </c>
      <c r="N3" s="1888">
        <f>SUMPRODUCT((因素修正幅度!B29:B48=I2)*(因素修正幅度!C3:F3=E2)*(因素修正幅度!C29:F48))</f>
        <v>0</v>
      </c>
      <c r="O3" s="2190"/>
      <c r="P3" s="2190"/>
      <c r="Q3" s="2190"/>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0"/>
      <c r="X3" s="2190"/>
      <c r="Y3" s="2190"/>
      <c r="Z3" s="2190"/>
      <c r="AA3" s="2190"/>
      <c r="AB3" s="2190"/>
      <c r="AC3" s="2191"/>
    </row>
    <row r="4" spans="1:39" ht="28.5">
      <c r="A4" s="1892" t="s">
        <v>2284</v>
      </c>
      <c r="B4" s="2478" t="e">
        <f>ROUND(B2*10000/F1,0)</f>
        <v>#DIV/0!</v>
      </c>
      <c r="C4" s="1895" t="s">
        <v>2258</v>
      </c>
      <c r="D4" s="1895" t="e">
        <f>ROUND(B2/(F1/666.67),0)</f>
        <v>#DIV/0!</v>
      </c>
      <c r="E4" s="1895" t="s">
        <v>2259</v>
      </c>
      <c r="F4" s="1893"/>
      <c r="G4" s="1893"/>
      <c r="H4" s="1893"/>
      <c r="I4" s="1893"/>
      <c r="J4" s="1894"/>
      <c r="K4" s="1401"/>
      <c r="L4" s="1886" t="s">
        <v>2245</v>
      </c>
      <c r="M4" s="1887">
        <f>SUMPRODUCT((区片价!B49:B75=I2)*(区片价!C3:F3=E2)*(区片价!C49:F75))</f>
        <v>0</v>
      </c>
      <c r="N4" s="1888">
        <f>SUMPRODUCT((因素修正幅度!B49:B75=I2)*(因素修正幅度!C3:F3=E2)*(因素修正幅度!C49:F75))</f>
        <v>0</v>
      </c>
      <c r="O4" s="2190"/>
      <c r="P4" s="2190"/>
      <c r="Q4" s="2190"/>
      <c r="R4" s="2963">
        <v>3</v>
      </c>
      <c r="S4" s="2963">
        <f>ROUND(IF(G3&gt;1,IF(R4&lt;7,SUMPRODUCT((B93:B98=R4)*(C92:N92=G2)*(C93:N98)),SUMIF(C92:N92,G2,C100:N100)),IF(R4&lt;7,SUMPRODUCT((B102:B107=R4)*(C92:N92=G2)*(C102:N107)),SUMIF(C92:N92,G2,C109:N109))),4)</f>
        <v>0</v>
      </c>
      <c r="T4" s="2963" t="e">
        <f t="shared" si="0"/>
        <v>#DIV/0!</v>
      </c>
      <c r="U4" s="2952"/>
      <c r="V4" s="2963" t="e">
        <f t="shared" si="1"/>
        <v>#DIV/0!</v>
      </c>
      <c r="W4" s="2190"/>
      <c r="X4" s="2190"/>
      <c r="Y4" s="2190"/>
      <c r="Z4" s="2190"/>
      <c r="AA4" s="2190"/>
      <c r="AB4" s="2190"/>
      <c r="AC4" s="2191"/>
    </row>
    <row r="5" spans="1:39" s="1421" customFormat="1" ht="15.75" thickBot="1">
      <c r="A5" s="1638" t="s">
        <v>1825</v>
      </c>
      <c r="B5" s="1415" t="s">
        <v>932</v>
      </c>
      <c r="C5" s="1041" t="e">
        <f>ROUND(IF(E2="商业",IF(F16="增加",C6*C7+C16,C6*C7-C16),IF(E2="住宅",IF(F16="增加",C6*C12+C16,C6*C12-C16),IF(F16="增加",C6+C16,C6-C16))),0)</f>
        <v>#DIV/0!</v>
      </c>
      <c r="D5" s="3151">
        <f>ROUND(IF(E2="商业",IF(F16="增加",C6+C16,C6-C16)),0)</f>
        <v>0</v>
      </c>
      <c r="E5" s="1416"/>
      <c r="F5" s="1416"/>
      <c r="G5" s="1417"/>
      <c r="H5" s="1417"/>
      <c r="I5" s="1417"/>
      <c r="J5" s="1418"/>
      <c r="K5" s="1594"/>
      <c r="L5" s="1886" t="s">
        <v>2246</v>
      </c>
      <c r="M5" s="1887">
        <f>SUMPRODUCT((区片价!B76:B109=I2)*(区片价!C3:F3=E2)*(区片价!C76:F109))</f>
        <v>0</v>
      </c>
      <c r="N5" s="1888">
        <f>SUMPRODUCT((因素修正幅度!B76:B109=I2)*(因素修正幅度!C3:F3=E2)*(因素修正幅度!C76:F109))</f>
        <v>0</v>
      </c>
      <c r="O5" s="2190"/>
      <c r="P5" s="2190"/>
      <c r="Q5" s="2190"/>
      <c r="R5" s="2963">
        <v>4</v>
      </c>
      <c r="S5" s="2963">
        <f>ROUND(IF(G3&gt;1,IF(R5&lt;7,SUMPRODUCT((B93:B98=R5)*(C92:N92=G2)*(C93:N98)),SUMIF(C92:N92,G2,C100:N100)),IF(R5&lt;7,SUMPRODUCT((B102:B107=R5)*(C92:N92=G2)*(C102:N107)),SUMIF(C92:N92,G2,C109:N109))),4)</f>
        <v>0</v>
      </c>
      <c r="T5" s="2963" t="e">
        <f t="shared" si="0"/>
        <v>#DIV/0!</v>
      </c>
      <c r="U5" s="2952"/>
      <c r="V5" s="2963"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1872</v>
      </c>
      <c r="B6" s="1422" t="s">
        <v>932</v>
      </c>
      <c r="C6" s="1042">
        <f>SUMIF(L1:L12,基准地价!G2,M1:M12)</f>
        <v>0</v>
      </c>
      <c r="D6" s="1423" t="s">
        <v>1697</v>
      </c>
      <c r="E6" s="1424"/>
      <c r="F6" s="1424"/>
      <c r="G6" s="1425"/>
      <c r="H6" s="1425"/>
      <c r="I6" s="1425"/>
      <c r="J6" s="1426"/>
      <c r="K6" s="1595"/>
      <c r="L6" s="1886" t="s">
        <v>2247</v>
      </c>
      <c r="M6" s="1887">
        <f>SUMPRODUCT((区片价!B110:B157=I2)*(区片价!C3:F3=E2)*(区片价!C110:F157))</f>
        <v>0</v>
      </c>
      <c r="N6" s="1888">
        <f>SUMPRODUCT((因素修正幅度!B110:B157=I2)*(因素修正幅度!C3:F3=E2)*(因素修正幅度!C110:F157))</f>
        <v>0</v>
      </c>
      <c r="O6" s="2190"/>
      <c r="P6" s="2190"/>
      <c r="Q6" s="2190"/>
      <c r="R6" s="2963">
        <v>5</v>
      </c>
      <c r="S6" s="2963">
        <f>ROUND(IF(G3&gt;1,IF(R6&lt;7,SUMPRODUCT((B93:B98=R6)*(C92:N92=G2)*(C93:N98)),SUMIF(C92:N92,G2,C100:N100)),IF(R6&lt;7,SUMPRODUCT((B102:B107=R6)*(C92:N92=G2)*(C102:N107)),SUMIF(C92:N92,G2,C109:N109))),4)</f>
        <v>0</v>
      </c>
      <c r="T6" s="2963" t="e">
        <f t="shared" si="0"/>
        <v>#DIV/0!</v>
      </c>
      <c r="U6" s="2952"/>
      <c r="V6" s="2963" t="e">
        <f t="shared" si="1"/>
        <v>#DIV/0!</v>
      </c>
      <c r="W6" s="2190"/>
      <c r="X6" s="2190"/>
      <c r="Y6" s="2190"/>
      <c r="Z6" s="2190"/>
      <c r="AA6" s="2190"/>
      <c r="AB6" s="2190"/>
      <c r="AC6" s="2192"/>
      <c r="AD6" s="1419"/>
      <c r="AE6" s="1419"/>
      <c r="AF6" s="1419"/>
      <c r="AG6" s="1419"/>
      <c r="AH6" s="1419"/>
      <c r="AI6" s="1419"/>
      <c r="AJ6" s="1420"/>
    </row>
    <row r="7" spans="1:39" ht="24">
      <c r="A7" s="3712" t="str">
        <f>IF(E2="商业",IF(C8="不临58条商业街","",2),"")</f>
        <v/>
      </c>
      <c r="B7" s="1427" t="s">
        <v>933</v>
      </c>
      <c r="C7" s="1043" t="e">
        <f>IF(C8="不临58条商业街",1,ROUND(1+(1.6*E8+1.2*E9+0.8*E10+0.4*E11)*C9,4))</f>
        <v>#DIV/0!</v>
      </c>
      <c r="D7" s="1428" t="s">
        <v>934</v>
      </c>
      <c r="E7" s="1044"/>
      <c r="F7" s="1429"/>
      <c r="G7" s="1430"/>
      <c r="H7" s="1430"/>
      <c r="I7" s="1430"/>
      <c r="J7" s="1431"/>
      <c r="K7" s="1595"/>
      <c r="L7" s="1886" t="s">
        <v>2248</v>
      </c>
      <c r="M7" s="1887">
        <f>SUMPRODUCT((区片价!B158:B205=I2)*(区片价!C3:F3=E2)*(区片价!C158:F205))</f>
        <v>0</v>
      </c>
      <c r="N7" s="1888">
        <f>SUMPRODUCT((因素修正幅度!B158:B205=I2)*(因素修正幅度!C3:F3=E2)*(因素修正幅度!C158:F205))</f>
        <v>0</v>
      </c>
      <c r="O7" s="2190"/>
      <c r="P7" s="2190"/>
      <c r="Q7" s="2190"/>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2772</v>
      </c>
      <c r="X7" s="2953">
        <f>G2</f>
        <v>0</v>
      </c>
      <c r="Y7" s="2953" t="s">
        <v>2773</v>
      </c>
      <c r="Z7" s="2954">
        <f>G3</f>
        <v>5.68</v>
      </c>
      <c r="AA7" s="2193"/>
      <c r="AB7" s="2193"/>
      <c r="AC7" s="2194"/>
      <c r="AD7" s="2955"/>
      <c r="AE7" s="2955"/>
      <c r="AF7" s="2955"/>
      <c r="AG7" s="2955"/>
      <c r="AH7" s="2955"/>
      <c r="AI7" s="2955"/>
      <c r="AJ7" s="2956"/>
    </row>
    <row r="8" spans="1:39" ht="15">
      <c r="A8" s="3713"/>
      <c r="B8" s="1414" t="s">
        <v>935</v>
      </c>
      <c r="C8" s="1529"/>
      <c r="D8" s="1045" t="s">
        <v>936</v>
      </c>
      <c r="E8" s="1046" t="e">
        <f>ROUND(C11/E7,4)</f>
        <v>#DIV/0!</v>
      </c>
      <c r="F8" s="1432" t="s">
        <v>937</v>
      </c>
      <c r="G8" s="1433"/>
      <c r="H8" s="1433"/>
      <c r="I8" s="1433"/>
      <c r="J8" s="1434"/>
      <c r="K8" s="1401"/>
      <c r="L8" s="1886" t="s">
        <v>2249</v>
      </c>
      <c r="M8" s="1887">
        <f>SUMPRODUCT((区片价!B206:B244=I2)*(区片价!C3:F3=E2)*(区片价!C206:F244))</f>
        <v>0</v>
      </c>
      <c r="N8" s="1888">
        <f>SUMPRODUCT((因素修正幅度!B206:B244=I2)*(因素修正幅度!C3:F3=E2)*(因素修正幅度!C206:F244))</f>
        <v>0</v>
      </c>
      <c r="O8" s="2190"/>
      <c r="P8" s="2190"/>
      <c r="Q8" s="2190"/>
      <c r="R8" s="2963">
        <v>7</v>
      </c>
      <c r="S8" s="2952"/>
      <c r="T8" s="2963" t="e">
        <f t="shared" si="0"/>
        <v>#DIV/0!</v>
      </c>
      <c r="U8" s="2952"/>
      <c r="V8" s="2963" t="e">
        <f t="shared" si="1"/>
        <v>#DIV/0!</v>
      </c>
      <c r="W8" s="3704" t="s">
        <v>2790</v>
      </c>
      <c r="X8" s="3705"/>
      <c r="Y8" s="1850" t="s">
        <v>2774</v>
      </c>
      <c r="Z8" s="1850" t="s">
        <v>2775</v>
      </c>
      <c r="AA8" s="1850" t="s">
        <v>2776</v>
      </c>
      <c r="AB8" s="1850" t="s">
        <v>2777</v>
      </c>
      <c r="AC8" s="1850" t="s">
        <v>2778</v>
      </c>
      <c r="AD8" s="1850" t="s">
        <v>2779</v>
      </c>
      <c r="AE8" s="1850" t="s">
        <v>2780</v>
      </c>
      <c r="AF8" s="1850" t="s">
        <v>2781</v>
      </c>
      <c r="AG8" s="1850" t="s">
        <v>2782</v>
      </c>
      <c r="AH8" s="1850" t="s">
        <v>2783</v>
      </c>
      <c r="AI8" s="1850" t="s">
        <v>2784</v>
      </c>
      <c r="AJ8" s="1850" t="s">
        <v>2785</v>
      </c>
    </row>
    <row r="9" spans="1:39" ht="15">
      <c r="A9" s="3713"/>
      <c r="B9" s="1414" t="s">
        <v>938</v>
      </c>
      <c r="C9" s="1047">
        <f>SUMIF(修正!C59:C119,C8,修正!E59:E119)</f>
        <v>0</v>
      </c>
      <c r="D9" s="1048" t="s">
        <v>939</v>
      </c>
      <c r="E9" s="1048" t="e">
        <f>ROUND(C11/E7,4)</f>
        <v>#DIV/0!</v>
      </c>
      <c r="F9" s="1432" t="s">
        <v>940</v>
      </c>
      <c r="G9" s="1433"/>
      <c r="H9" s="1433"/>
      <c r="I9" s="1433"/>
      <c r="J9" s="1434"/>
      <c r="K9" s="1401"/>
      <c r="L9" s="1886" t="s">
        <v>2250</v>
      </c>
      <c r="M9" s="1887">
        <f>SUMPRODUCT((区片价!B245:B289=I2)*(区片价!C3:F3=E2)*(区片价!C245:F289))</f>
        <v>0</v>
      </c>
      <c r="N9" s="1888">
        <f>SUMPRODUCT((因素修正幅度!B245:B289=I2)*(因素修正幅度!C3:F3=E2)*(因素修正幅度!C245:F289))</f>
        <v>0</v>
      </c>
      <c r="O9" s="2190"/>
      <c r="P9" s="2190"/>
      <c r="Q9" s="2190"/>
      <c r="R9" s="2963">
        <v>8</v>
      </c>
      <c r="S9" s="2952"/>
      <c r="T9" s="2963" t="e">
        <f t="shared" si="0"/>
        <v>#DIV/0!</v>
      </c>
      <c r="U9" s="2952"/>
      <c r="V9" s="2963" t="e">
        <f t="shared" si="1"/>
        <v>#DIV/0!</v>
      </c>
      <c r="W9" s="3703" t="s">
        <v>2786</v>
      </c>
      <c r="X9" s="2957" t="s">
        <v>2787</v>
      </c>
      <c r="Y9" s="3125"/>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713"/>
      <c r="B10" s="1414" t="s">
        <v>941</v>
      </c>
      <c r="C10" s="1048">
        <f>SUMIF(修正!C59:C119,C8,修正!F59:F119)</f>
        <v>0</v>
      </c>
      <c r="D10" s="1048" t="s">
        <v>942</v>
      </c>
      <c r="E10" s="1048" t="e">
        <f>ROUND(C11/E7,4)</f>
        <v>#DIV/0!</v>
      </c>
      <c r="F10" s="1432" t="s">
        <v>943</v>
      </c>
      <c r="G10" s="1433"/>
      <c r="H10" s="1433"/>
      <c r="I10" s="1433"/>
      <c r="J10" s="1434"/>
      <c r="K10" s="1401"/>
      <c r="L10" s="1886" t="s">
        <v>2251</v>
      </c>
      <c r="M10" s="1887">
        <f>SUMPRODUCT((区片价!B290:B316=I2)*(区片价!C3:F3=E2)*(区片价!C290:F316))</f>
        <v>0</v>
      </c>
      <c r="N10" s="1888">
        <f>SUMPRODUCT((因素修正幅度!B290:B316=I2)*(因素修正幅度!C3:F3=E2)*(因素修正幅度!C290:F316))</f>
        <v>0</v>
      </c>
      <c r="O10" s="2190"/>
      <c r="P10" s="2190"/>
      <c r="Q10" s="2190"/>
      <c r="R10" s="2963">
        <v>9</v>
      </c>
      <c r="S10" s="2952"/>
      <c r="T10" s="2963" t="e">
        <f t="shared" si="0"/>
        <v>#DIV/0!</v>
      </c>
      <c r="U10" s="2952"/>
      <c r="V10" s="2963" t="e">
        <f t="shared" si="1"/>
        <v>#DIV/0!</v>
      </c>
      <c r="W10" s="3703"/>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713"/>
      <c r="B11" s="1435" t="s">
        <v>944</v>
      </c>
      <c r="C11" s="1049">
        <f>C10/4</f>
        <v>0</v>
      </c>
      <c r="D11" s="1049" t="s">
        <v>945</v>
      </c>
      <c r="E11" s="1049" t="e">
        <f>ROUND(C11/E7,4)</f>
        <v>#DIV/0!</v>
      </c>
      <c r="F11" s="1436" t="s">
        <v>946</v>
      </c>
      <c r="G11" s="1437"/>
      <c r="H11" s="1437"/>
      <c r="I11" s="1437"/>
      <c r="J11" s="1438"/>
      <c r="K11" s="1401"/>
      <c r="L11" s="1886" t="s">
        <v>2252</v>
      </c>
      <c r="M11" s="1887">
        <f>SUMPRODUCT((区片价!B317:B337=I2)*(区片价!C3:F3=E2)*(区片价!C317:F337))</f>
        <v>0</v>
      </c>
      <c r="N11" s="1888">
        <f>SUMPRODUCT((因素修正幅度!B317:B337=I2)*(因素修正幅度!C3:F3=E2)*(因素修正幅度!C317:F337))</f>
        <v>0</v>
      </c>
      <c r="O11" s="2190"/>
      <c r="P11" s="2190"/>
      <c r="Q11" s="2190"/>
      <c r="R11" s="2963">
        <v>10</v>
      </c>
      <c r="S11" s="2952"/>
      <c r="T11" s="2963" t="e">
        <f t="shared" si="0"/>
        <v>#DIV/0!</v>
      </c>
      <c r="U11" s="2952"/>
      <c r="V11" s="2963" t="e">
        <f t="shared" si="1"/>
        <v>#DIV/0!</v>
      </c>
      <c r="W11" s="3703" t="s">
        <v>2788</v>
      </c>
      <c r="X11" s="1048" t="s">
        <v>2773</v>
      </c>
      <c r="Y11" s="1653">
        <f>$G$3</f>
        <v>5.68</v>
      </c>
      <c r="Z11" s="1653">
        <f t="shared" ref="Z11:AJ11" si="3">$G$3</f>
        <v>5.68</v>
      </c>
      <c r="AA11" s="1653">
        <f t="shared" si="3"/>
        <v>5.68</v>
      </c>
      <c r="AB11" s="1653">
        <f t="shared" si="3"/>
        <v>5.68</v>
      </c>
      <c r="AC11" s="1653">
        <f t="shared" si="3"/>
        <v>5.68</v>
      </c>
      <c r="AD11" s="1653">
        <f t="shared" si="3"/>
        <v>5.68</v>
      </c>
      <c r="AE11" s="1653">
        <f t="shared" si="3"/>
        <v>5.68</v>
      </c>
      <c r="AF11" s="1653">
        <f t="shared" si="3"/>
        <v>5.68</v>
      </c>
      <c r="AG11" s="1653">
        <f t="shared" si="3"/>
        <v>5.68</v>
      </c>
      <c r="AH11" s="1653">
        <f t="shared" si="3"/>
        <v>5.68</v>
      </c>
      <c r="AI11" s="1653">
        <f t="shared" si="3"/>
        <v>5.68</v>
      </c>
      <c r="AJ11" s="1653">
        <f t="shared" si="3"/>
        <v>5.68</v>
      </c>
    </row>
    <row r="12" spans="1:39" ht="25.5" thickBot="1">
      <c r="A12" s="3712" t="s">
        <v>1873</v>
      </c>
      <c r="B12" s="1439" t="s">
        <v>947</v>
      </c>
      <c r="C12" s="1043">
        <f>ROUND(C15*D15*E15*F15*G15*H15*I15*J15,4)</f>
        <v>1</v>
      </c>
      <c r="D12" s="1440" t="s">
        <v>948</v>
      </c>
      <c r="E12" s="1441"/>
      <c r="F12" s="1441"/>
      <c r="G12" s="1442"/>
      <c r="H12" s="1442"/>
      <c r="I12" s="1442"/>
      <c r="J12" s="1443"/>
      <c r="K12" s="1401"/>
      <c r="L12" s="1889" t="s">
        <v>2253</v>
      </c>
      <c r="M12" s="1890">
        <f>SUMPRODUCT((区片价!B338:B344=I2)*(区片价!C3:F3=E2)*(区片价!C338:F344))</f>
        <v>0</v>
      </c>
      <c r="N12" s="1891">
        <f>SUMPRODUCT((因素修正幅度!B338:B344=I2)*(因素修正幅度!C3:F3=E2)*(因素修正幅度!C338:F344))</f>
        <v>0</v>
      </c>
      <c r="O12" s="2190"/>
      <c r="P12" s="2190"/>
      <c r="Q12" s="2190"/>
      <c r="R12" s="2963">
        <v>11</v>
      </c>
      <c r="S12" s="2952"/>
      <c r="T12" s="2963" t="e">
        <f t="shared" si="0"/>
        <v>#DIV/0!</v>
      </c>
      <c r="U12" s="2952"/>
      <c r="V12" s="2963" t="e">
        <f t="shared" si="1"/>
        <v>#DIV/0!</v>
      </c>
      <c r="W12" s="3703"/>
      <c r="X12" s="2960" t="s">
        <v>2789</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714"/>
      <c r="B13" s="1444" t="s">
        <v>1698</v>
      </c>
      <c r="C13" s="1445" t="s">
        <v>1699</v>
      </c>
      <c r="D13" s="1089" t="s">
        <v>1700</v>
      </c>
      <c r="E13" s="1089" t="s">
        <v>1701</v>
      </c>
      <c r="F13" s="1446" t="s">
        <v>949</v>
      </c>
      <c r="G13" s="1447" t="s">
        <v>1644</v>
      </c>
      <c r="H13" s="1448" t="s">
        <v>1644</v>
      </c>
      <c r="I13" s="1449" t="s">
        <v>1644</v>
      </c>
      <c r="J13" s="1450" t="s">
        <v>1644</v>
      </c>
      <c r="K13" s="1401"/>
      <c r="L13" s="2190"/>
      <c r="M13" s="2190"/>
      <c r="N13" s="2190"/>
      <c r="O13" s="2190"/>
      <c r="P13" s="2190"/>
      <c r="Q13" s="2190"/>
      <c r="R13" s="2963">
        <v>12</v>
      </c>
      <c r="S13" s="2952"/>
      <c r="T13" s="2963" t="e">
        <f t="shared" si="0"/>
        <v>#DIV/0!</v>
      </c>
      <c r="U13" s="2952"/>
      <c r="V13" s="2963" t="e">
        <f t="shared" si="1"/>
        <v>#DIV/0!</v>
      </c>
      <c r="W13" s="3703"/>
      <c r="X13" s="2960"/>
      <c r="Y13" s="2959">
        <f>(-0.163*(Y12^2)-0.59*Y12+7617)*(10^(-4))/Y11</f>
        <v>0.13410211267605635</v>
      </c>
      <c r="Z13" s="2959">
        <f t="shared" ref="Z13:AJ13" si="5">(-0.163*(Z12^2)-0.59*Z12+7617)*(10^(-4))/Z11</f>
        <v>0.13410211267605635</v>
      </c>
      <c r="AA13" s="2959">
        <f t="shared" si="5"/>
        <v>0.13410211267605635</v>
      </c>
      <c r="AB13" s="2959">
        <f t="shared" si="5"/>
        <v>0.13410211267605635</v>
      </c>
      <c r="AC13" s="2959">
        <f t="shared" si="5"/>
        <v>0.13410211267605635</v>
      </c>
      <c r="AD13" s="2959">
        <f t="shared" si="5"/>
        <v>0.13410211267605635</v>
      </c>
      <c r="AE13" s="2959">
        <f t="shared" si="5"/>
        <v>0.13410211267605635</v>
      </c>
      <c r="AF13" s="2959">
        <f t="shared" si="5"/>
        <v>0.13410211267605635</v>
      </c>
      <c r="AG13" s="2959">
        <f t="shared" si="5"/>
        <v>0.13410211267605635</v>
      </c>
      <c r="AH13" s="2959">
        <f t="shared" si="5"/>
        <v>0.13410211267605635</v>
      </c>
      <c r="AI13" s="2959">
        <f t="shared" si="5"/>
        <v>0.13410211267605635</v>
      </c>
      <c r="AJ13" s="2959">
        <f t="shared" si="5"/>
        <v>0.13410211267605635</v>
      </c>
    </row>
    <row r="14" spans="1:39" ht="12.75" customHeight="1" thickBot="1">
      <c r="A14" s="3714"/>
      <c r="B14" s="1451"/>
      <c r="C14" s="1452"/>
      <c r="D14" s="1453"/>
      <c r="E14" s="1453"/>
      <c r="F14" s="1454"/>
      <c r="G14" s="1455" t="s">
        <v>950</v>
      </c>
      <c r="H14" s="1456"/>
      <c r="I14" s="1457"/>
      <c r="J14" s="1458"/>
      <c r="K14" s="1401"/>
      <c r="L14" s="2190"/>
      <c r="M14" s="2190"/>
      <c r="N14" s="2190"/>
      <c r="O14" s="2190"/>
      <c r="P14" s="2190"/>
      <c r="Q14" s="2190"/>
      <c r="R14" s="2963">
        <v>13</v>
      </c>
      <c r="S14" s="2952"/>
      <c r="T14" s="2963" t="e">
        <f t="shared" si="0"/>
        <v>#DIV/0!</v>
      </c>
      <c r="U14" s="2952"/>
      <c r="V14" s="2963" t="e">
        <f t="shared" si="1"/>
        <v>#DIV/0!</v>
      </c>
      <c r="W14" s="2190"/>
      <c r="X14" s="2190"/>
      <c r="Y14" s="2190"/>
      <c r="Z14" s="2190"/>
      <c r="AA14" s="2190"/>
      <c r="AB14" s="2190"/>
      <c r="AC14" s="2191"/>
    </row>
    <row r="15" spans="1:39" ht="13.5" customHeight="1" thickBot="1">
      <c r="A15" s="3715"/>
      <c r="B15" s="1459" t="s">
        <v>1702</v>
      </c>
      <c r="C15" s="1051">
        <f>IF(C14="有",1.1,1)</f>
        <v>1</v>
      </c>
      <c r="D15" s="1051">
        <f>IF(D14="有",1.1,1)</f>
        <v>1</v>
      </c>
      <c r="E15" s="1051">
        <f>IF(E14="有",1.1,1)</f>
        <v>1</v>
      </c>
      <c r="F15" s="1051">
        <f>IF(F14="500米范围内",1.2,IF(F14="500-1000米",1.1,1))</f>
        <v>1</v>
      </c>
      <c r="G15" s="1052">
        <v>1</v>
      </c>
      <c r="H15" s="1052">
        <v>1</v>
      </c>
      <c r="I15" s="1052">
        <v>1</v>
      </c>
      <c r="J15" s="1053">
        <v>1</v>
      </c>
      <c r="K15" s="1401"/>
      <c r="L15" s="1598" t="s">
        <v>899</v>
      </c>
      <c r="M15" s="1428" t="s">
        <v>985</v>
      </c>
      <c r="N15" s="1428" t="s">
        <v>986</v>
      </c>
      <c r="O15" s="1428" t="s">
        <v>903</v>
      </c>
      <c r="P15" s="1476" t="s">
        <v>987</v>
      </c>
      <c r="Q15" s="2190"/>
      <c r="R15" s="2963">
        <v>14</v>
      </c>
      <c r="S15" s="2952"/>
      <c r="T15" s="2963" t="e">
        <f t="shared" si="0"/>
        <v>#DIV/0!</v>
      </c>
      <c r="U15" s="2952"/>
      <c r="V15" s="2963" t="e">
        <f t="shared" si="1"/>
        <v>#DIV/0!</v>
      </c>
      <c r="W15" s="2190"/>
      <c r="X15" s="2190"/>
      <c r="Y15" s="2190"/>
      <c r="Z15" s="2190"/>
      <c r="AA15" s="2190"/>
      <c r="AB15" s="2190"/>
      <c r="AC15" s="2191"/>
    </row>
    <row r="16" spans="1:39" ht="24">
      <c r="A16" s="3712" t="s">
        <v>1840</v>
      </c>
      <c r="B16" s="1427" t="s">
        <v>951</v>
      </c>
      <c r="C16" s="1054" t="e">
        <f>ROUND(SUM(G17:J17)/C17,0)</f>
        <v>#DIV/0!</v>
      </c>
      <c r="D16" s="1460" t="s">
        <v>952</v>
      </c>
      <c r="E16" s="1461"/>
      <c r="F16" s="1462"/>
      <c r="G16" s="1463"/>
      <c r="H16" s="1463"/>
      <c r="I16" s="1463"/>
      <c r="J16" s="1463"/>
      <c r="K16" s="1401"/>
      <c r="L16" s="1464" t="s">
        <v>989</v>
      </c>
      <c r="M16" s="1047">
        <v>0.25</v>
      </c>
      <c r="N16" s="1047">
        <v>0.2</v>
      </c>
      <c r="O16" s="1047">
        <v>0.15</v>
      </c>
      <c r="P16" s="1539">
        <v>0.1</v>
      </c>
      <c r="Q16" s="2193"/>
      <c r="R16" s="2963">
        <v>15</v>
      </c>
      <c r="S16" s="2952"/>
      <c r="T16" s="2963" t="e">
        <f t="shared" si="0"/>
        <v>#DIV/0!</v>
      </c>
      <c r="U16" s="2952"/>
      <c r="V16" s="2963" t="e">
        <f t="shared" si="1"/>
        <v>#DIV/0!</v>
      </c>
      <c r="W16" s="2193"/>
      <c r="X16" s="2193"/>
      <c r="Y16" s="2193"/>
      <c r="Z16" s="2193"/>
      <c r="AA16" s="2193"/>
      <c r="AB16" s="2193"/>
      <c r="AC16" s="2194"/>
    </row>
    <row r="17" spans="1:40" ht="13.5" thickBot="1">
      <c r="A17" s="3713"/>
      <c r="B17" s="1465" t="s">
        <v>954</v>
      </c>
      <c r="C17" s="1055">
        <f>SUMPRODUCT((修正!A2:A5=E2)*(修正!B1:M1=G2)*(修正!B2:M5))</f>
        <v>0</v>
      </c>
      <c r="D17" s="1467" t="s">
        <v>955</v>
      </c>
      <c r="E17" s="1468" t="str">
        <f>IF(OR(G2="八级",G2="九级",G2="十级",G2="十一级",G2="十二级"),"五通一平","七通一平")</f>
        <v>七通一平</v>
      </c>
      <c r="F17" s="1466"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1831</v>
      </c>
      <c r="B18" s="2798" t="s">
        <v>957</v>
      </c>
      <c r="C18" s="2799">
        <f>SUMIF(修正!C18:C39,E3,修正!E18:E39)</f>
        <v>0</v>
      </c>
      <c r="D18" s="2800"/>
      <c r="E18" s="2801"/>
      <c r="F18" s="2802"/>
      <c r="G18" s="2796"/>
      <c r="H18" s="2796"/>
      <c r="I18" s="2796"/>
      <c r="J18" s="2803"/>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1837</v>
      </c>
      <c r="B19" s="1470" t="s">
        <v>958</v>
      </c>
      <c r="C19" s="1057" t="e">
        <f>ROUND(IF(H19="按公示增长率计算",SUMPRODUCT((地价!A3:A21=YEAR(G19)&amp;"-"&amp;ROUNDUP(MONTH(G19)/3,0))*(地价!X2:AB2=E2)*(地价!X3:AB21)),IF(H19="地价指数",M20/M19,(1+I19)^O19)),4)</f>
        <v>#DIV/0!</v>
      </c>
      <c r="D19" s="1474" t="s">
        <v>959</v>
      </c>
      <c r="E19" s="1058">
        <v>41640</v>
      </c>
      <c r="F19" s="1474" t="s">
        <v>960</v>
      </c>
      <c r="G19" s="1059">
        <f>'数据-取费表'!B2</f>
        <v>43167</v>
      </c>
      <c r="H19" s="1475" t="s">
        <v>2946</v>
      </c>
      <c r="I19" s="2810" t="str">
        <f>IF(H19="季度增幅（自定义）",SUMIF(N21:N24,E2,O21:O24),"")</f>
        <v/>
      </c>
      <c r="J19" s="1471"/>
      <c r="K19" s="1481"/>
      <c r="L19" s="3066" t="s">
        <v>2848</v>
      </c>
      <c r="M19" s="3067">
        <f>ROUND(SUMIF(地价!B2:F2,E2,地价!B21:F21),0)</f>
        <v>0</v>
      </c>
      <c r="N19" s="2812" t="s">
        <v>1678</v>
      </c>
      <c r="O19" s="2811">
        <f>ROUNDDOWN(DATEDIF(E19,G19,"M")/3,0)</f>
        <v>16</v>
      </c>
      <c r="P19" s="1596"/>
      <c r="R19" s="2951"/>
      <c r="S19" s="2951"/>
      <c r="T19" s="2951"/>
      <c r="U19" s="2951"/>
      <c r="V19" s="2951"/>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4" t="s">
        <v>1838</v>
      </c>
      <c r="B20" s="2805" t="s">
        <v>973</v>
      </c>
      <c r="C20" s="2806" t="e">
        <f>ROUND(POWER(1+G20,J20-I20)*(POWER(1+G20,I20)-1)/(POWER(1+G20,J20)-1),4)</f>
        <v>#DIV/0!</v>
      </c>
      <c r="D20" s="2807" t="s">
        <v>974</v>
      </c>
      <c r="E20" s="3122">
        <f ca="1">存贷款利率!I4/100</f>
        <v>4.3499999999999997E-2</v>
      </c>
      <c r="F20" s="2807" t="s">
        <v>975</v>
      </c>
      <c r="G20" s="2808">
        <f>SUMIF(M15:P15,E2,M17:P17)</f>
        <v>0</v>
      </c>
      <c r="H20" s="2807" t="s">
        <v>976</v>
      </c>
      <c r="I20" s="2797" t="e">
        <f>SUMIF('数据-取费表'!C6:C15,E2,'数据-取费表'!F6:F15)/COUNTIF('数据-取费表'!C6:C15,E2)</f>
        <v>#DIV/0!</v>
      </c>
      <c r="J20" s="2809">
        <f>IF(E2="住宅",70,IF(E2="商业",40,50))</f>
        <v>50</v>
      </c>
      <c r="K20" s="1481"/>
      <c r="L20" s="3068" t="s">
        <v>2849</v>
      </c>
      <c r="M20" s="3069">
        <f>ROUND(SUMPRODUCT((地价!A4:A21=YEAR(G19)&amp;"-"&amp;ROUNDUP(MONTH(G19)/3,0))*(地价!B2:F2=E2)*(地价!B4:F21)),0)</f>
        <v>0</v>
      </c>
      <c r="N20" s="2815" t="s">
        <v>2652</v>
      </c>
      <c r="O20" s="2813" t="s">
        <v>2651</v>
      </c>
      <c r="P20" s="2814" t="s">
        <v>2657</v>
      </c>
      <c r="R20" s="2951"/>
      <c r="S20" s="2951"/>
      <c r="T20" s="2951"/>
      <c r="U20" s="2951"/>
      <c r="V20" s="2951"/>
      <c r="W20" s="2196"/>
      <c r="X20" s="2196"/>
      <c r="Y20" s="2196"/>
      <c r="Z20" s="2196"/>
      <c r="AA20" s="2196"/>
      <c r="AB20" s="2196"/>
      <c r="AC20" s="2196"/>
      <c r="AD20" s="1472"/>
      <c r="AE20" s="1472"/>
      <c r="AF20" s="1472"/>
      <c r="AG20" s="1472"/>
      <c r="AH20" s="1472"/>
      <c r="AI20" s="1472"/>
    </row>
    <row r="21" spans="1:40" s="1421" customFormat="1" ht="14.25">
      <c r="A21" s="1642" t="s">
        <v>1839</v>
      </c>
      <c r="B21" s="1480" t="s">
        <v>2768</v>
      </c>
      <c r="C21" s="1158">
        <f>IF(B21="容积率修正",IF(G3&lt;=10,D22,J22),C23)</f>
        <v>0</v>
      </c>
      <c r="D21" s="1481"/>
      <c r="E21" s="1481"/>
      <c r="F21" s="1481"/>
      <c r="G21" s="1481"/>
      <c r="H21" s="1481"/>
      <c r="I21" s="1481"/>
      <c r="J21" s="1482"/>
      <c r="K21" s="1481"/>
      <c r="L21" s="1481"/>
      <c r="M21" s="1481"/>
      <c r="N21" s="1478" t="s">
        <v>977</v>
      </c>
      <c r="O21" s="1542"/>
      <c r="P21" s="2795">
        <f>SUMPRODUCT((地价!A3:A21=YEAR(G19)&amp;"-"&amp;ROUNDUP(MONTH(G19)/3,0))*(地价!AD2:AH2=N21)*(地价!AD3:AH21))</f>
        <v>1.55E-2</v>
      </c>
      <c r="R21" s="2951"/>
      <c r="S21" s="2951"/>
      <c r="T21" s="2951"/>
      <c r="U21" s="2951"/>
      <c r="V21" s="2951"/>
      <c r="W21" s="2196"/>
      <c r="X21" s="2196"/>
      <c r="Y21" s="2196"/>
      <c r="Z21" s="2196"/>
      <c r="AA21" s="2196"/>
      <c r="AB21" s="2196"/>
      <c r="AC21" s="2196"/>
      <c r="AD21" s="1403"/>
      <c r="AE21" s="1403"/>
      <c r="AF21" s="1403"/>
      <c r="AG21" s="1403"/>
      <c r="AH21" s="1472"/>
      <c r="AI21" s="1472"/>
    </row>
    <row r="22" spans="1:40" s="1421" customFormat="1" ht="14.25">
      <c r="A22" s="1643" t="s">
        <v>1872</v>
      </c>
      <c r="B22" s="1483" t="s">
        <v>978</v>
      </c>
      <c r="C22" s="1060" t="s">
        <v>1704</v>
      </c>
      <c r="D22" s="1060">
        <f>IF(E22=G22,F22,IF(G3&lt;=10,ROUND(F22+(H22-F22)*(G3-E22)/(G22-E22),4),"——"))</f>
        <v>0</v>
      </c>
      <c r="E22" s="1039">
        <f>ROUNDDOWN(G3,1)</f>
        <v>5.6</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5.6999999999999993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1"/>
      <c r="L22" s="1481"/>
      <c r="M22" s="1481"/>
      <c r="N22" s="1478" t="s">
        <v>980</v>
      </c>
      <c r="O22" s="1542"/>
      <c r="P22" s="2795">
        <f>SUMPRODUCT((地价!A3:A21=YEAR(G19)&amp;"-"&amp;ROUNDUP(MONTH(G19)/3,0))*(地价!AD2:AH2=N22)*(地价!AD3:AH21))</f>
        <v>1.55E-2</v>
      </c>
      <c r="R22" s="2951"/>
      <c r="S22" s="2951"/>
      <c r="T22" s="2951"/>
      <c r="U22" s="2951"/>
      <c r="V22" s="2951"/>
      <c r="W22" s="2196"/>
      <c r="X22" s="2196"/>
      <c r="Y22" s="2196"/>
      <c r="Z22" s="2196"/>
      <c r="AA22" s="2196"/>
      <c r="AB22" s="2196"/>
      <c r="AC22" s="2196"/>
      <c r="AD22" s="1472"/>
      <c r="AE22" s="1472"/>
      <c r="AF22" s="1472"/>
      <c r="AG22" s="1472"/>
      <c r="AH22" s="1472"/>
      <c r="AI22" s="1472"/>
    </row>
    <row r="23" spans="1:40" ht="27.75" thickBot="1">
      <c r="A23" s="1643" t="s">
        <v>1873</v>
      </c>
      <c r="B23" s="1483" t="s">
        <v>981</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5">
        <f>SUMPRODUCT((地价!A3:A21=YEAR(G19)&amp;"-"&amp;ROUNDUP(MONTH(G19)/3,0))*(地价!AD2:AH2=N23)*(地价!AD3:AH21))</f>
        <v>2.5499999999999998E-2</v>
      </c>
      <c r="R23" s="2951"/>
      <c r="S23" s="2951"/>
      <c r="T23" s="2951"/>
      <c r="U23" s="2951"/>
      <c r="V23" s="2951"/>
      <c r="W23" s="2196"/>
      <c r="X23" s="2196"/>
      <c r="Y23" s="2196"/>
      <c r="Z23" s="2196"/>
      <c r="AA23" s="2196"/>
      <c r="AB23" s="2196"/>
      <c r="AC23" s="2196"/>
      <c r="AN23" s="1404"/>
    </row>
    <row r="24" spans="1:40" s="1421" customFormat="1" ht="15.75" thickBot="1">
      <c r="A24" s="1641" t="s">
        <v>1874</v>
      </c>
      <c r="B24" s="1415" t="s">
        <v>982</v>
      </c>
      <c r="C24" s="1062">
        <f>SUMIF(A44:A87,E2,B44:B87)</f>
        <v>0</v>
      </c>
      <c r="D24" s="1535"/>
      <c r="E24" s="1536"/>
      <c r="F24" s="1536"/>
      <c r="G24" s="1536"/>
      <c r="H24" s="1536"/>
      <c r="I24" s="1536"/>
      <c r="J24" s="1536"/>
      <c r="K24" s="1481"/>
      <c r="L24" s="1481"/>
      <c r="M24" s="1481"/>
      <c r="N24" s="1484" t="s">
        <v>983</v>
      </c>
      <c r="O24" s="1543"/>
      <c r="P24" s="1541">
        <f>SUMPRODUCT((地价!A3:A21=YEAR(G19)&amp;"-"&amp;ROUNDUP(MONTH(G19)/3,0))*(地价!AD2:AH2=N24)*(地价!AD3:AH21))</f>
        <v>1.3100000000000001E-2</v>
      </c>
      <c r="R24" s="2951"/>
      <c r="S24" s="2951"/>
      <c r="T24" s="2951"/>
      <c r="U24" s="2951"/>
      <c r="V24" s="2951"/>
      <c r="W24" s="2196"/>
      <c r="X24" s="2196"/>
      <c r="Y24" s="2196"/>
      <c r="Z24" s="2196"/>
      <c r="AA24" s="2196"/>
      <c r="AB24" s="2196"/>
      <c r="AC24" s="2196"/>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6"/>
      <c r="M25" s="2196"/>
      <c r="N25" s="2823" t="s">
        <v>2655</v>
      </c>
      <c r="O25" s="2196"/>
      <c r="P25" s="1541">
        <f>SUMPRODUCT((地价!A3:A21=YEAR(G19)&amp;"-"&amp;ROUNDUP(MONTH(G19)/3,0))*(地价!AD2:AH2=N25)*(地价!AD3:AH21))</f>
        <v>2.3E-2</v>
      </c>
      <c r="R25" s="2951"/>
      <c r="S25" s="2951"/>
      <c r="T25" s="2951"/>
      <c r="U25" s="2951"/>
      <c r="V25" s="2951"/>
      <c r="W25" s="2196"/>
      <c r="X25" s="2196"/>
      <c r="Y25" s="2196"/>
      <c r="Z25" s="2196"/>
      <c r="AA25" s="2196"/>
      <c r="AB25" s="2196"/>
      <c r="AC25" s="2196"/>
    </row>
    <row r="26" spans="1:40" ht="14.25">
      <c r="A26" s="1489"/>
      <c r="B26" s="1483" t="s">
        <v>988</v>
      </c>
      <c r="C26" s="1063" t="e">
        <f>E29+SUM(E33:E39)</f>
        <v>#DIV/0!</v>
      </c>
      <c r="D26" s="1490"/>
      <c r="E26" s="1456"/>
      <c r="F26" s="1491"/>
      <c r="G26" s="1456"/>
      <c r="H26" s="1456"/>
      <c r="I26" s="1456"/>
      <c r="J26" s="1492"/>
      <c r="K26" s="1401"/>
      <c r="L26" s="2196"/>
      <c r="M26" s="2196"/>
      <c r="N26" s="2196"/>
      <c r="O26" s="2196"/>
      <c r="P26" s="2196"/>
      <c r="Q26" s="2196"/>
      <c r="R26" s="2951"/>
      <c r="S26" s="2951"/>
      <c r="T26" s="2951"/>
      <c r="U26" s="2951"/>
      <c r="V26" s="2951"/>
      <c r="W26" s="2196"/>
      <c r="X26" s="2196"/>
      <c r="Y26" s="2196"/>
      <c r="Z26" s="2196"/>
      <c r="AA26" s="2196"/>
      <c r="AB26" s="2196"/>
      <c r="AC26" s="2196"/>
      <c r="AD26" s="1472"/>
      <c r="AE26" s="1472"/>
      <c r="AF26" s="1472"/>
      <c r="AG26" s="1472"/>
    </row>
    <row r="27" spans="1:40" ht="15" thickBot="1">
      <c r="A27" s="1489"/>
      <c r="B27" s="1493" t="s">
        <v>990</v>
      </c>
      <c r="C27" s="1064" t="e">
        <f>E30+SUM(I33:I39)</f>
        <v>#DIV/0!</v>
      </c>
      <c r="D27" s="1494"/>
      <c r="E27" s="1495"/>
      <c r="F27" s="1496"/>
      <c r="G27" s="1495"/>
      <c r="H27" s="1495"/>
      <c r="I27" s="1495"/>
      <c r="J27" s="1497"/>
      <c r="K27" s="1401"/>
      <c r="L27" s="2196"/>
      <c r="M27" s="2196"/>
      <c r="N27" s="2196"/>
      <c r="O27" s="2196"/>
      <c r="P27" s="2196"/>
      <c r="Q27" s="2196"/>
      <c r="R27" s="2951"/>
      <c r="S27" s="2951"/>
      <c r="T27" s="2951"/>
      <c r="U27" s="2951"/>
      <c r="V27" s="2951"/>
      <c r="W27" s="2196"/>
      <c r="X27" s="2196"/>
      <c r="Y27" s="2196"/>
      <c r="Z27" s="2196"/>
      <c r="AA27" s="2196"/>
      <c r="AB27" s="2196"/>
      <c r="AC27" s="2196"/>
    </row>
    <row r="28" spans="1:40" ht="14.25">
      <c r="A28" s="1485"/>
      <c r="B28" s="1498" t="s">
        <v>991</v>
      </c>
      <c r="C28" s="1499" t="s">
        <v>992</v>
      </c>
      <c r="D28" s="1499" t="s">
        <v>993</v>
      </c>
      <c r="E28" s="1500" t="s">
        <v>994</v>
      </c>
      <c r="F28" s="1501"/>
      <c r="G28" s="1442"/>
      <c r="H28" s="1442"/>
      <c r="I28" s="1442"/>
      <c r="J28" s="1443"/>
      <c r="K28" s="1401"/>
      <c r="L28" s="2196"/>
      <c r="M28" s="2196"/>
      <c r="N28" s="2196"/>
      <c r="O28" s="2196"/>
      <c r="P28" s="2196"/>
      <c r="Q28" s="2196"/>
      <c r="R28" s="2951"/>
      <c r="S28" s="2951"/>
      <c r="T28" s="2951"/>
      <c r="U28" s="2951"/>
      <c r="V28" s="2951"/>
      <c r="W28" s="2196"/>
      <c r="X28" s="2196"/>
      <c r="Y28" s="2196"/>
      <c r="Z28" s="2196"/>
      <c r="AA28" s="2196"/>
      <c r="AB28" s="2196"/>
      <c r="AC28" s="2196"/>
      <c r="AD28" s="1472"/>
      <c r="AE28" s="1472"/>
      <c r="AF28" s="1472"/>
      <c r="AG28" s="1472"/>
    </row>
    <row r="29" spans="1:40" ht="24">
      <c r="A29" s="1502"/>
      <c r="B29" s="1503" t="s">
        <v>995</v>
      </c>
      <c r="C29" s="1063" t="e">
        <f>ROUND(C5*C18*C19*C20*C21*C24,0)</f>
        <v>#DIV/0!</v>
      </c>
      <c r="D29" s="1504"/>
      <c r="E29" s="1850" t="e">
        <f>ROUND(C29*D29/10000,0)</f>
        <v>#DIV/0!</v>
      </c>
      <c r="F29" s="1505" t="s">
        <v>1703</v>
      </c>
      <c r="G29" s="1506"/>
      <c r="H29" s="1506"/>
      <c r="I29" s="1506"/>
      <c r="J29" s="1507"/>
      <c r="K29" s="1401"/>
      <c r="L29" s="2196"/>
      <c r="M29" s="2196"/>
      <c r="N29" s="2196"/>
      <c r="O29" s="2196"/>
      <c r="P29" s="2196"/>
      <c r="Q29" s="2196"/>
      <c r="R29" s="2951"/>
      <c r="S29" s="2951"/>
      <c r="T29" s="2951"/>
      <c r="U29" s="2951"/>
      <c r="V29" s="2951"/>
      <c r="W29" s="2196"/>
      <c r="X29" s="2196"/>
      <c r="Y29" s="2196"/>
      <c r="Z29" s="2196"/>
      <c r="AA29" s="2196"/>
      <c r="AB29" s="2196"/>
      <c r="AC29" s="2196"/>
      <c r="AH29" s="1402"/>
      <c r="AI29" s="1402"/>
      <c r="AJ29" s="1405"/>
      <c r="AK29" s="1405"/>
      <c r="AL29" s="1405"/>
      <c r="AM29" s="1405"/>
    </row>
    <row r="30" spans="1:40" ht="24.75" thickBot="1">
      <c r="A30" s="1508"/>
      <c r="B30" s="1509" t="s">
        <v>996</v>
      </c>
      <c r="C30" s="1051" t="e">
        <f>ROUND(IF(E2="工业",C29*M39,C29*M38),0)</f>
        <v>#DIV/0!</v>
      </c>
      <c r="D30" s="1510"/>
      <c r="E30" s="1850" t="e">
        <f>ROUND(C30*D30/10000,0)</f>
        <v>#DIV/0!</v>
      </c>
      <c r="F30" s="1511" t="s">
        <v>997</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718" t="s">
        <v>2973</v>
      </c>
      <c r="B33" s="1524" t="s">
        <v>1001</v>
      </c>
      <c r="C33" s="1063" t="e">
        <f>ROUND(D5*C19*C20*C24*F33,0)</f>
        <v>#DIV/0!</v>
      </c>
      <c r="D33" s="1537"/>
      <c r="E33" s="1048" t="e">
        <f>ROUND(C33*D33/10000,0)</f>
        <v>#DIV/0!</v>
      </c>
      <c r="F33" s="1048">
        <f>SUMIF(修正!A45:A56,G2,修正!B45:B56)</f>
        <v>0</v>
      </c>
      <c r="G33" s="1048" t="e">
        <f t="shared" ref="G33:G39"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719"/>
      <c r="B34" s="1445" t="s">
        <v>1002</v>
      </c>
      <c r="C34" s="1063" t="e">
        <f>ROUND(D5*C19*C20*C24*F34,0)</f>
        <v>#DIV/0!</v>
      </c>
      <c r="D34" s="1537"/>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719"/>
      <c r="B35" s="1445" t="s">
        <v>1003</v>
      </c>
      <c r="C35" s="1063" t="e">
        <f>ROUND(D5*C19*C20*C24*F35,0)</f>
        <v>#DIV/0!</v>
      </c>
      <c r="D35" s="1537"/>
      <c r="E35" s="1048" t="e">
        <f t="shared" si="7"/>
        <v>#DIV/0!</v>
      </c>
      <c r="F35" s="1048">
        <f>SUMIF(修正!A45:A56,G2,修正!D45:D56)</f>
        <v>0</v>
      </c>
      <c r="G35" s="1048" t="e">
        <f t="shared" si="6"/>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720"/>
      <c r="B36" s="1445" t="s">
        <v>1004</v>
      </c>
      <c r="C36" s="1063" t="e">
        <f>ROUND(D5*C19*C20*C24*F36,0)</f>
        <v>#DIV/0!</v>
      </c>
      <c r="D36" s="1537"/>
      <c r="E36" s="1048" t="e">
        <f t="shared" si="7"/>
        <v>#DIV/0!</v>
      </c>
      <c r="F36" s="1048">
        <f>SUMIF(修正!A45:A56,G2,修正!E45:E56)</f>
        <v>0</v>
      </c>
      <c r="G36" s="1048" t="e">
        <f t="shared" si="6"/>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1005</v>
      </c>
      <c r="C37" s="1048" t="e">
        <f>ROUND(C5*C19*C20*C24*F37,0)</f>
        <v>#DIV/0!</v>
      </c>
      <c r="D37" s="1537"/>
      <c r="E37" s="1048" t="e">
        <f t="shared" si="7"/>
        <v>#DIV/0!</v>
      </c>
      <c r="F37" s="1063">
        <f>SUMIF(修正!A45:A56,G2,修正!F45:F56)</f>
        <v>0</v>
      </c>
      <c r="G37" s="1048" t="e">
        <f t="shared" si="6"/>
        <v>#DIV/0!</v>
      </c>
      <c r="H37" s="1048">
        <f t="shared" si="8"/>
        <v>0</v>
      </c>
      <c r="I37" s="1048" t="e">
        <f t="shared" si="9"/>
        <v>#DIV/0!</v>
      </c>
      <c r="J37" s="1525"/>
      <c r="K37" s="1401"/>
      <c r="L37" s="1544" t="s">
        <v>1705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1006</v>
      </c>
      <c r="C38" s="1048" t="e">
        <f>ROUND(C5*C19*C20*C24*F38,0)</f>
        <v>#DIV/0!</v>
      </c>
      <c r="D38" s="1537"/>
      <c r="E38" s="1048" t="e">
        <f t="shared" si="7"/>
        <v>#DIV/0!</v>
      </c>
      <c r="F38" s="1063">
        <f>SUMIF(修正!A45:A56,G2,修正!G45:G56)</f>
        <v>0</v>
      </c>
      <c r="G38" s="1048" t="e">
        <f t="shared" si="6"/>
        <v>#DIV/0!</v>
      </c>
      <c r="H38" s="1048">
        <f t="shared" si="8"/>
        <v>0</v>
      </c>
      <c r="I38" s="1048" t="e">
        <f t="shared" si="9"/>
        <v>#DIV/0!</v>
      </c>
      <c r="J38" s="1525"/>
      <c r="K38" s="1401"/>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1007</v>
      </c>
      <c r="C39" s="1051" t="e">
        <f>ROUND(C5*C19*C20*C24*F39,0)</f>
        <v>#DIV/0!</v>
      </c>
      <c r="D39" s="1538"/>
      <c r="E39" s="1051" t="e">
        <f t="shared" si="7"/>
        <v>#DIV/0!</v>
      </c>
      <c r="F39" s="1065">
        <f>SUMIF(修正!A45:A56,G2,修正!H45:H56)</f>
        <v>0</v>
      </c>
      <c r="G39" s="1051" t="e">
        <f t="shared" si="6"/>
        <v>#DIV/0!</v>
      </c>
      <c r="H39" s="1051">
        <f t="shared" si="8"/>
        <v>0</v>
      </c>
      <c r="I39" s="1051" t="e">
        <f t="shared" si="9"/>
        <v>#DIV/0!</v>
      </c>
      <c r="J39" s="1527"/>
      <c r="K39" s="1401"/>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1008</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1009</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1010</v>
      </c>
      <c r="B46" s="2433" t="s">
        <v>1011</v>
      </c>
      <c r="C46" s="2455" t="s">
        <v>1012</v>
      </c>
      <c r="D46" s="2456" t="s">
        <v>1013</v>
      </c>
      <c r="E46" s="2457" t="s">
        <v>1015</v>
      </c>
      <c r="F46" s="2458" t="s">
        <v>2254</v>
      </c>
      <c r="G46" s="2456" t="s">
        <v>1016</v>
      </c>
      <c r="H46" s="2439" t="s">
        <v>2423</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1022</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1023</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1024</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1025</v>
      </c>
      <c r="B50" s="3124" t="s">
        <v>2948</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1026</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1027</v>
      </c>
      <c r="B52" s="3123" t="s">
        <v>2947</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1028</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1029</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1030</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1031</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1010</v>
      </c>
      <c r="B57" s="2433"/>
      <c r="C57" s="2455" t="s">
        <v>1012</v>
      </c>
      <c r="D57" s="2456" t="s">
        <v>1013</v>
      </c>
      <c r="E57" s="2457" t="s">
        <v>1015</v>
      </c>
      <c r="F57" s="2458" t="s">
        <v>2255</v>
      </c>
      <c r="G57" s="2456" t="s">
        <v>1016</v>
      </c>
      <c r="H57" s="2439" t="s">
        <v>2423</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1032</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1023</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1024</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1025</v>
      </c>
      <c r="B61" s="3124" t="s">
        <v>2949</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1026</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1027</v>
      </c>
      <c r="B63" s="3123" t="s">
        <v>2947</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1028</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1029</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1030</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1033</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1010</v>
      </c>
      <c r="B68" s="2433"/>
      <c r="C68" s="2455" t="s">
        <v>1012</v>
      </c>
      <c r="D68" s="2456" t="s">
        <v>1013</v>
      </c>
      <c r="E68" s="2457" t="s">
        <v>1015</v>
      </c>
      <c r="F68" s="2458" t="s">
        <v>2256</v>
      </c>
      <c r="G68" s="2456" t="s">
        <v>1016</v>
      </c>
      <c r="H68" s="2439" t="s">
        <v>2423</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1034</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1035</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1024</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1036</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1028</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1029</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1027</v>
      </c>
      <c r="B75" s="3123" t="s">
        <v>2947</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1030</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1037</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1038</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1010</v>
      </c>
      <c r="B79" s="2433"/>
      <c r="C79" s="2455" t="s">
        <v>1012</v>
      </c>
      <c r="D79" s="2456" t="s">
        <v>1013</v>
      </c>
      <c r="E79" s="2457" t="s">
        <v>1015</v>
      </c>
      <c r="F79" s="2458" t="s">
        <v>2257</v>
      </c>
      <c r="G79" s="2456" t="s">
        <v>1016</v>
      </c>
      <c r="H79" s="2439" t="s">
        <v>2423</v>
      </c>
      <c r="I79" s="2456" t="s">
        <v>1014</v>
      </c>
      <c r="J79" s="2459" t="s">
        <v>1017</v>
      </c>
      <c r="K79" s="2459" t="s">
        <v>1018</v>
      </c>
      <c r="L79" s="2459" t="s">
        <v>1019</v>
      </c>
      <c r="M79" s="2459" t="s">
        <v>1020</v>
      </c>
      <c r="N79" s="2459" t="s">
        <v>1021</v>
      </c>
      <c r="AC79" s="1405"/>
      <c r="AD79" s="1404"/>
      <c r="AJ79" s="1403"/>
      <c r="AN79" s="1404"/>
    </row>
    <row r="80" spans="1:40" ht="36">
      <c r="A80" s="1067" t="s">
        <v>1039</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7" t="s">
        <v>1035</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1024</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1036</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1028</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1029</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1027</v>
      </c>
      <c r="B86" s="3123" t="s">
        <v>2947</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1040</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716" t="s">
        <v>1635</v>
      </c>
      <c r="B90" s="3716"/>
      <c r="C90" s="3716"/>
      <c r="D90" s="3716"/>
      <c r="E90" s="3716"/>
      <c r="F90" s="3716"/>
      <c r="G90" s="3716"/>
      <c r="H90" s="3716"/>
      <c r="I90" s="3716"/>
      <c r="J90" s="3716"/>
      <c r="K90" s="2475"/>
      <c r="L90" s="2475"/>
      <c r="M90" s="2475"/>
      <c r="N90" s="2475"/>
    </row>
    <row r="91" spans="1:40">
      <c r="A91" s="3717" t="s">
        <v>1445</v>
      </c>
      <c r="B91" s="3717" t="s">
        <v>1636</v>
      </c>
      <c r="C91" s="1140" t="s">
        <v>1637</v>
      </c>
      <c r="D91" s="1141"/>
      <c r="E91" s="1141"/>
      <c r="F91" s="1141"/>
      <c r="G91" s="1141"/>
      <c r="H91" s="1141"/>
      <c r="I91" s="1141"/>
      <c r="J91" s="1142"/>
      <c r="K91" s="1134"/>
      <c r="L91" s="1134"/>
      <c r="M91" s="1134"/>
      <c r="N91" s="1134"/>
    </row>
    <row r="92" spans="1:40">
      <c r="A92" s="3717"/>
      <c r="B92" s="3717"/>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706" t="s">
        <v>2771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0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0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0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0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0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07"/>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0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06" t="s">
        <v>1639</v>
      </c>
      <c r="B101" s="1147" t="s">
        <v>907</v>
      </c>
      <c r="C101" s="1148">
        <f>$G$3</f>
        <v>5.68</v>
      </c>
      <c r="D101" s="1148">
        <f t="shared" ref="D101:N101" si="31">$G$3</f>
        <v>5.68</v>
      </c>
      <c r="E101" s="1148">
        <f t="shared" si="31"/>
        <v>5.68</v>
      </c>
      <c r="F101" s="1148">
        <f t="shared" si="31"/>
        <v>5.68</v>
      </c>
      <c r="G101" s="1148">
        <f t="shared" si="31"/>
        <v>5.68</v>
      </c>
      <c r="H101" s="1148">
        <f t="shared" si="31"/>
        <v>5.68</v>
      </c>
      <c r="I101" s="1148">
        <f t="shared" si="31"/>
        <v>5.68</v>
      </c>
      <c r="J101" s="1148">
        <f t="shared" si="31"/>
        <v>5.68</v>
      </c>
      <c r="K101" s="1148">
        <f t="shared" si="31"/>
        <v>5.68</v>
      </c>
      <c r="L101" s="1148">
        <f t="shared" si="31"/>
        <v>5.68</v>
      </c>
      <c r="M101" s="1148">
        <f t="shared" si="31"/>
        <v>5.68</v>
      </c>
      <c r="N101" s="1148">
        <f t="shared" si="31"/>
        <v>5.68</v>
      </c>
    </row>
    <row r="102" spans="1:14">
      <c r="A102" s="3707"/>
      <c r="B102" s="1143">
        <v>1</v>
      </c>
      <c r="C102" s="1144">
        <f>1.9362/C101</f>
        <v>0.34088028169014084</v>
      </c>
      <c r="D102" s="1144">
        <f>1.9362/D101</f>
        <v>0.34088028169014084</v>
      </c>
      <c r="E102" s="1144">
        <f>1.8629/E101</f>
        <v>0.32797535211267609</v>
      </c>
      <c r="F102" s="1144">
        <f>1.8629/F101</f>
        <v>0.32797535211267609</v>
      </c>
      <c r="G102" s="1144">
        <f>1.8629/G101</f>
        <v>0.32797535211267609</v>
      </c>
      <c r="H102" s="1144">
        <f>1.8629/H101</f>
        <v>0.32797535211267609</v>
      </c>
      <c r="I102" s="1144">
        <f>1.8629/I101</f>
        <v>0.32797535211267609</v>
      </c>
      <c r="J102" s="1144">
        <f>1.942/J101</f>
        <v>0.34190140845070421</v>
      </c>
      <c r="K102" s="1144">
        <f>1.942/K101</f>
        <v>0.34190140845070421</v>
      </c>
      <c r="L102" s="1144">
        <f>1.942/L101</f>
        <v>0.34190140845070421</v>
      </c>
      <c r="M102" s="1144">
        <f>1.942/M101</f>
        <v>0.34190140845070421</v>
      </c>
      <c r="N102" s="1144">
        <f>1.942/N101</f>
        <v>0.34190140845070421</v>
      </c>
    </row>
    <row r="103" spans="1:14">
      <c r="A103" s="3707"/>
      <c r="B103" s="1143">
        <v>2</v>
      </c>
      <c r="C103" s="1144">
        <f>1.4198/C101</f>
        <v>0.24996478873239436</v>
      </c>
      <c r="D103" s="1144">
        <f>1.4198/D101</f>
        <v>0.24996478873239436</v>
      </c>
      <c r="E103" s="1144">
        <f>1.3372/E101</f>
        <v>0.2354225352112676</v>
      </c>
      <c r="F103" s="1144">
        <f>1.3372/F101</f>
        <v>0.2354225352112676</v>
      </c>
      <c r="G103" s="1144">
        <f>1.3372/G101</f>
        <v>0.2354225352112676</v>
      </c>
      <c r="H103" s="1144">
        <f>1.3372/H101</f>
        <v>0.2354225352112676</v>
      </c>
      <c r="I103" s="1144">
        <f>1.3372/I101</f>
        <v>0.2354225352112676</v>
      </c>
      <c r="J103" s="1144">
        <f>1.2799/J101</f>
        <v>0.22533450704225355</v>
      </c>
      <c r="K103" s="1144">
        <f>1.2799/K101</f>
        <v>0.22533450704225355</v>
      </c>
      <c r="L103" s="1144">
        <f>1.2799/L101</f>
        <v>0.22533450704225355</v>
      </c>
      <c r="M103" s="1144">
        <f>1.2799/M101</f>
        <v>0.22533450704225355</v>
      </c>
      <c r="N103" s="1144">
        <f>1.2799/N101</f>
        <v>0.22533450704225355</v>
      </c>
    </row>
    <row r="104" spans="1:14">
      <c r="A104" s="3707"/>
      <c r="B104" s="1143">
        <v>3</v>
      </c>
      <c r="C104" s="1144">
        <f>1.1594/C101</f>
        <v>0.20411971830985917</v>
      </c>
      <c r="D104" s="1144">
        <f>1.1594/D101</f>
        <v>0.20411971830985917</v>
      </c>
      <c r="E104" s="1144">
        <f>1.0788/E101</f>
        <v>0.18992957746478875</v>
      </c>
      <c r="F104" s="1144">
        <f>1.0788/F101</f>
        <v>0.18992957746478875</v>
      </c>
      <c r="G104" s="1144">
        <f>1.0788/G101</f>
        <v>0.18992957746478875</v>
      </c>
      <c r="H104" s="1144">
        <f>1.0788/H101</f>
        <v>0.18992957746478875</v>
      </c>
      <c r="I104" s="1144">
        <f>1.0788/I101</f>
        <v>0.18992957746478875</v>
      </c>
      <c r="J104" s="1144">
        <f>1.0072/J101</f>
        <v>0.17732394366197185</v>
      </c>
      <c r="K104" s="1144">
        <f>1.0072/K101</f>
        <v>0.17732394366197185</v>
      </c>
      <c r="L104" s="1144">
        <f>1.0072/L101</f>
        <v>0.17732394366197185</v>
      </c>
      <c r="M104" s="1144">
        <f>1.0072/M101</f>
        <v>0.17732394366197185</v>
      </c>
      <c r="N104" s="1144">
        <f>1.0072/N101</f>
        <v>0.17732394366197185</v>
      </c>
    </row>
    <row r="105" spans="1:14">
      <c r="A105" s="3707"/>
      <c r="B105" s="1143">
        <v>4</v>
      </c>
      <c r="C105" s="1144">
        <f>0.9622/C101</f>
        <v>0.16940140845070426</v>
      </c>
      <c r="D105" s="1144">
        <f>0.9622/D101</f>
        <v>0.16940140845070426</v>
      </c>
      <c r="E105" s="1144">
        <f>0.8656/E101</f>
        <v>0.15239436619718311</v>
      </c>
      <c r="F105" s="1144">
        <f>0.8656/F101</f>
        <v>0.15239436619718311</v>
      </c>
      <c r="G105" s="1144">
        <f>0.8656/G101</f>
        <v>0.15239436619718311</v>
      </c>
      <c r="H105" s="1144">
        <f>0.8656/H101</f>
        <v>0.15239436619718311</v>
      </c>
      <c r="I105" s="1144">
        <f>0.8656/I101</f>
        <v>0.15239436619718311</v>
      </c>
      <c r="J105" s="1144">
        <f>0.7525/J101</f>
        <v>0.13248239436619719</v>
      </c>
      <c r="K105" s="1144">
        <f>0.7525/K101</f>
        <v>0.13248239436619719</v>
      </c>
      <c r="L105" s="1144">
        <f>0.7525/L101</f>
        <v>0.13248239436619719</v>
      </c>
      <c r="M105" s="1144">
        <f>0.7525/M101</f>
        <v>0.13248239436619719</v>
      </c>
      <c r="N105" s="1144">
        <f>0.7525/N101</f>
        <v>0.13248239436619719</v>
      </c>
    </row>
    <row r="106" spans="1:14">
      <c r="A106" s="3707"/>
      <c r="B106" s="1143">
        <v>5</v>
      </c>
      <c r="C106" s="1144">
        <f>0.8417/C101</f>
        <v>0.14818661971830988</v>
      </c>
      <c r="D106" s="1144">
        <f>0.8417/D101</f>
        <v>0.14818661971830988</v>
      </c>
      <c r="E106" s="1144">
        <f>0.7371/E101</f>
        <v>0.12977112676056338</v>
      </c>
      <c r="F106" s="1144">
        <f>0.7371/F101</f>
        <v>0.12977112676056338</v>
      </c>
      <c r="G106" s="1144">
        <f>0.7371/G101</f>
        <v>0.12977112676056338</v>
      </c>
      <c r="H106" s="1144">
        <f>0.7371/H101</f>
        <v>0.12977112676056338</v>
      </c>
      <c r="I106" s="1144">
        <f>0.7371/I101</f>
        <v>0.12977112676056338</v>
      </c>
      <c r="J106" s="1144">
        <f>0.5659/J101</f>
        <v>9.9630281690140848E-2</v>
      </c>
      <c r="K106" s="1144">
        <f>0.5659/K101</f>
        <v>9.9630281690140848E-2</v>
      </c>
      <c r="L106" s="1144">
        <f>0.5659/L101</f>
        <v>9.9630281690140848E-2</v>
      </c>
      <c r="M106" s="1144">
        <f>0.5659/M101</f>
        <v>9.9630281690140848E-2</v>
      </c>
      <c r="N106" s="1144">
        <f>0.5659/N101</f>
        <v>9.9630281690140848E-2</v>
      </c>
    </row>
    <row r="107" spans="1:14">
      <c r="A107" s="3707"/>
      <c r="B107" s="1143">
        <v>6</v>
      </c>
      <c r="C107" s="1144">
        <f>0.7608/C101</f>
        <v>0.133943661971831</v>
      </c>
      <c r="D107" s="1144">
        <f>0.7608/D101</f>
        <v>0.133943661971831</v>
      </c>
      <c r="E107" s="1144">
        <f>0.6482/E101</f>
        <v>0.11411971830985916</v>
      </c>
      <c r="F107" s="1144">
        <f>0.6482/F101</f>
        <v>0.11411971830985916</v>
      </c>
      <c r="G107" s="1144">
        <f>0.6482/G101</f>
        <v>0.11411971830985916</v>
      </c>
      <c r="H107" s="1144">
        <f>0.6482/H101</f>
        <v>0.11411971830985916</v>
      </c>
      <c r="I107" s="1144">
        <f>0.6482/I101</f>
        <v>0.11411971830985916</v>
      </c>
      <c r="J107" s="1144">
        <f>0.4525/J101</f>
        <v>7.9665492957746484E-2</v>
      </c>
      <c r="K107" s="1144">
        <f>0.4525/K101</f>
        <v>7.9665492957746484E-2</v>
      </c>
      <c r="L107" s="1144">
        <f>0.4525/L101</f>
        <v>7.9665492957746484E-2</v>
      </c>
      <c r="M107" s="1144">
        <f>0.4525/M101</f>
        <v>7.9665492957746484E-2</v>
      </c>
      <c r="N107" s="1144">
        <f>0.4525/N101</f>
        <v>7.9665492957746484E-2</v>
      </c>
    </row>
    <row r="108" spans="1:14">
      <c r="A108" s="3707"/>
      <c r="B108" s="3709"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08"/>
      <c r="B109" s="3710"/>
      <c r="C109" s="1146">
        <f>(-0.163*(C108^2)-0.59*C108+7617)*(10^(-4))/C101</f>
        <v>0.13383535211267605</v>
      </c>
      <c r="D109" s="1146">
        <f>(-0.163*(D108^2)-0.59*D108+7617)*(10^(-4))/D101</f>
        <v>0.13383535211267605</v>
      </c>
      <c r="E109" s="1146">
        <f>(-0.161*(E108^2)-7.509*E108+6533)*(10^(-4))/E101</f>
        <v>0.11377859154929579</v>
      </c>
      <c r="F109" s="1146">
        <f>(-0.161*(F108^2)-7.509*F108+6533)*(10^(-4))/F101</f>
        <v>0.11377859154929579</v>
      </c>
      <c r="G109" s="1146">
        <f>(-0.161*(G108^2)-7.509*G108+6533)*(10^(-4))/G101</f>
        <v>0.11377859154929579</v>
      </c>
      <c r="H109" s="1146">
        <f>(-0.161*(H108^2)-7.509*H108+6533)*(10^(-4))/H101</f>
        <v>0.11377859154929579</v>
      </c>
      <c r="I109" s="1146">
        <f>(-0.161*(I108^2)-7.509*I108+6533)*(10^(-4))/I101</f>
        <v>0.11377859154929579</v>
      </c>
      <c r="J109" s="1146">
        <f>(-0.214*(J108^2)-21.991*J108+4665)*(10^(-4))/J101</f>
        <v>7.8791830985915509E-2</v>
      </c>
      <c r="K109" s="1146">
        <f>(-0.214*(K108^2)-21.991*K108+4665)*(10^(-4))/K101</f>
        <v>7.8791830985915509E-2</v>
      </c>
      <c r="L109" s="1146">
        <f>(-0.214*(L108^2)-21.991*L108+4665)*(10^(-4))/L101</f>
        <v>7.8791830985915509E-2</v>
      </c>
      <c r="M109" s="1146">
        <f>(-0.214*(M108^2)-21.991*M108+4665)*(10^(-4))/M101</f>
        <v>7.8791830985915509E-2</v>
      </c>
      <c r="N109" s="1146">
        <f>(-0.214*(N108^2)-21.991*N108+4665)*(10^(-4))/N101</f>
        <v>7.8791830985915509E-2</v>
      </c>
    </row>
    <row r="110" spans="1:14">
      <c r="A110" s="3711" t="s">
        <v>1641</v>
      </c>
      <c r="B110" s="3711"/>
      <c r="C110" s="3711"/>
      <c r="D110" s="3711"/>
      <c r="E110" s="3711"/>
      <c r="F110" s="3711"/>
      <c r="G110" s="3711"/>
      <c r="H110" s="3711"/>
      <c r="I110" s="3711"/>
      <c r="J110" s="3711"/>
      <c r="K110" s="2473"/>
      <c r="L110" s="2473"/>
      <c r="M110" s="2473"/>
      <c r="N110" s="2473"/>
    </row>
    <row r="112" spans="1:14" ht="12.75" thickBot="1"/>
    <row r="113" spans="1:13" ht="25.5" thickBot="1">
      <c r="A113" s="1016" t="s">
        <v>897</v>
      </c>
      <c r="B113" s="2476">
        <f>G3</f>
        <v>5.68</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0.88009999999999999</v>
      </c>
      <c r="C115" s="1030">
        <f>B115</f>
        <v>0.88009999999999999</v>
      </c>
      <c r="D115" s="1030">
        <f>ROUND(0.8331-0.0109*B113,4)</f>
        <v>0.7712</v>
      </c>
      <c r="E115" s="1030">
        <f>D115</f>
        <v>0.7712</v>
      </c>
      <c r="F115" s="1030">
        <f>E115</f>
        <v>0.7712</v>
      </c>
      <c r="G115" s="1030">
        <f>F115</f>
        <v>0.7712</v>
      </c>
      <c r="H115" s="1030">
        <f>G115</f>
        <v>0.7712</v>
      </c>
      <c r="I115" s="1030">
        <f>ROUND(0.689-0.0155*B113,4)</f>
        <v>0.60099999999999998</v>
      </c>
      <c r="J115" s="1030">
        <f t="shared" ref="J115:M118" si="33">I115</f>
        <v>0.60099999999999998</v>
      </c>
      <c r="K115" s="1030">
        <f t="shared" si="33"/>
        <v>0.60099999999999998</v>
      </c>
      <c r="L115" s="1030">
        <f t="shared" si="33"/>
        <v>0.60099999999999998</v>
      </c>
      <c r="M115" s="1031">
        <f t="shared" si="33"/>
        <v>0.60099999999999998</v>
      </c>
    </row>
    <row r="116" spans="1:13" ht="12.75">
      <c r="A116" s="1029" t="s">
        <v>902</v>
      </c>
      <c r="B116" s="1030">
        <f>ROUND(0.949-0.012*B113,4)</f>
        <v>0.88080000000000003</v>
      </c>
      <c r="C116" s="1030">
        <f>B116</f>
        <v>0.88080000000000003</v>
      </c>
      <c r="D116" s="1030">
        <f>ROUND(0.8567-0.013*B113,4)</f>
        <v>0.78290000000000004</v>
      </c>
      <c r="E116" s="1030">
        <f t="shared" ref="E116:H117" si="34">D116</f>
        <v>0.78290000000000004</v>
      </c>
      <c r="F116" s="1030">
        <f t="shared" si="34"/>
        <v>0.78290000000000004</v>
      </c>
      <c r="G116" s="1030">
        <f t="shared" si="34"/>
        <v>0.78290000000000004</v>
      </c>
      <c r="H116" s="1030">
        <f t="shared" si="34"/>
        <v>0.78290000000000004</v>
      </c>
      <c r="I116" s="1030">
        <f>ROUND(0.7694-0.014*B113,4)</f>
        <v>0.68989999999999996</v>
      </c>
      <c r="J116" s="1030">
        <f t="shared" si="33"/>
        <v>0.68989999999999996</v>
      </c>
      <c r="K116" s="1030">
        <f t="shared" si="33"/>
        <v>0.68989999999999996</v>
      </c>
      <c r="L116" s="1030">
        <f t="shared" si="33"/>
        <v>0.68989999999999996</v>
      </c>
      <c r="M116" s="1031">
        <f t="shared" si="33"/>
        <v>0.68989999999999996</v>
      </c>
    </row>
    <row r="117" spans="1:13" ht="12.75">
      <c r="A117" s="1032" t="s">
        <v>903</v>
      </c>
      <c r="B117" s="1030">
        <f>ROUND(0.8808-0.006*B113,4)</f>
        <v>0.84670000000000001</v>
      </c>
      <c r="C117" s="1030">
        <f>B117</f>
        <v>0.84670000000000001</v>
      </c>
      <c r="D117" s="1030">
        <f>ROUND(0.8748-0.008*B113,4)</f>
        <v>0.82940000000000003</v>
      </c>
      <c r="E117" s="1030">
        <f t="shared" si="34"/>
        <v>0.82940000000000003</v>
      </c>
      <c r="F117" s="1030">
        <f t="shared" si="34"/>
        <v>0.82940000000000003</v>
      </c>
      <c r="G117" s="1030">
        <f t="shared" si="34"/>
        <v>0.82940000000000003</v>
      </c>
      <c r="H117" s="1030">
        <f t="shared" si="34"/>
        <v>0.82940000000000003</v>
      </c>
      <c r="I117" s="1030">
        <f>ROUND(0.7412-0.0095*B113,4)</f>
        <v>0.68720000000000003</v>
      </c>
      <c r="J117" s="1030">
        <f t="shared" si="33"/>
        <v>0.68720000000000003</v>
      </c>
      <c r="K117" s="1030">
        <f t="shared" si="33"/>
        <v>0.68720000000000003</v>
      </c>
      <c r="L117" s="1030">
        <f t="shared" si="33"/>
        <v>0.68720000000000003</v>
      </c>
      <c r="M117" s="1031">
        <f t="shared" si="33"/>
        <v>0.68720000000000003</v>
      </c>
    </row>
    <row r="118" spans="1:13" ht="13.5" thickBot="1">
      <c r="A118" s="1033" t="s">
        <v>904</v>
      </c>
      <c r="B118" s="1034">
        <f>ROUND(0.7275-0.01*B113,4)</f>
        <v>0.67069999999999996</v>
      </c>
      <c r="C118" s="1034">
        <f>B118</f>
        <v>0.67069999999999996</v>
      </c>
      <c r="D118" s="1034">
        <f>ROUND(0.7043-0.012*B113,4)</f>
        <v>0.6361</v>
      </c>
      <c r="E118" s="1034">
        <f>D118</f>
        <v>0.6361</v>
      </c>
      <c r="F118" s="1034">
        <f>E118</f>
        <v>0.6361</v>
      </c>
      <c r="G118" s="1034">
        <f>ROUND(0.6299-0.0122*B113,4)</f>
        <v>0.56059999999999999</v>
      </c>
      <c r="H118" s="1034">
        <f>G118</f>
        <v>0.56059999999999999</v>
      </c>
      <c r="I118" s="1034">
        <f>ROUND(0.5667-0.0136*B113,4)</f>
        <v>0.48949999999999999</v>
      </c>
      <c r="J118" s="1034">
        <f t="shared" si="33"/>
        <v>0.48949999999999999</v>
      </c>
      <c r="K118" s="1034">
        <f t="shared" si="33"/>
        <v>0.48949999999999999</v>
      </c>
      <c r="L118" s="1034">
        <f t="shared" si="33"/>
        <v>0.48949999999999999</v>
      </c>
      <c r="M118" s="1035">
        <f t="shared" si="33"/>
        <v>0.48949999999999999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599" customFormat="1" ht="19.5" customHeight="1">
      <c r="A18" s="3717" t="s">
        <v>1009</v>
      </c>
      <c r="B18" s="1154" t="s">
        <v>1448</v>
      </c>
      <c r="C18" s="1131" t="s">
        <v>1449</v>
      </c>
      <c r="D18" s="1132"/>
      <c r="E18" s="1154">
        <v>1</v>
      </c>
      <c r="F18" s="1133" t="s">
        <v>1450</v>
      </c>
      <c r="G18" s="1134"/>
      <c r="H18" s="1105"/>
      <c r="I18" s="1105"/>
    </row>
    <row r="19" spans="1:9" s="1599" customFormat="1" ht="19.5" customHeight="1">
      <c r="A19" s="3717"/>
      <c r="B19" s="3717" t="s">
        <v>1451</v>
      </c>
      <c r="C19" s="1131" t="s">
        <v>1452</v>
      </c>
      <c r="D19" s="1132"/>
      <c r="E19" s="1154">
        <v>0.9</v>
      </c>
      <c r="F19" s="1133" t="s">
        <v>1453</v>
      </c>
      <c r="G19" s="1134"/>
      <c r="H19" s="1105"/>
      <c r="I19" s="1105"/>
    </row>
    <row r="20" spans="1:9" s="1599" customFormat="1" ht="19.5" customHeight="1">
      <c r="A20" s="3717"/>
      <c r="B20" s="3717"/>
      <c r="C20" s="1131" t="s">
        <v>1454</v>
      </c>
      <c r="D20" s="1132"/>
      <c r="E20" s="1154">
        <v>1.1000000000000001</v>
      </c>
      <c r="F20" s="1133" t="s">
        <v>1455</v>
      </c>
      <c r="G20" s="1134"/>
      <c r="H20" s="1105"/>
      <c r="I20" s="1105"/>
    </row>
    <row r="21" spans="1:9" s="1599" customFormat="1" ht="19.5" customHeight="1">
      <c r="A21" s="3717"/>
      <c r="B21" s="3717"/>
      <c r="C21" s="1131" t="s">
        <v>1456</v>
      </c>
      <c r="D21" s="1132"/>
      <c r="E21" s="1154">
        <v>0.8</v>
      </c>
      <c r="F21" s="1133" t="s">
        <v>1457</v>
      </c>
      <c r="G21" s="1134"/>
      <c r="H21" s="1105"/>
      <c r="I21" s="1105"/>
    </row>
    <row r="22" spans="1:9" s="1599" customFormat="1" ht="19.5" customHeight="1">
      <c r="A22" s="3717"/>
      <c r="B22" s="3717"/>
      <c r="C22" s="1131" t="s">
        <v>1458</v>
      </c>
      <c r="D22" s="1132"/>
      <c r="E22" s="1154">
        <v>0.5</v>
      </c>
      <c r="F22" s="1133"/>
      <c r="G22" s="1134"/>
      <c r="H22" s="1105"/>
      <c r="I22" s="1105"/>
    </row>
    <row r="23" spans="1:9" s="1599" customFormat="1" ht="19.5" customHeight="1">
      <c r="A23" s="3717" t="s">
        <v>1031</v>
      </c>
      <c r="B23" s="1154" t="s">
        <v>1448</v>
      </c>
      <c r="C23" s="1131" t="s">
        <v>1459</v>
      </c>
      <c r="D23" s="1132"/>
      <c r="E23" s="1154">
        <v>1</v>
      </c>
      <c r="F23" s="1133" t="s">
        <v>1460</v>
      </c>
      <c r="G23" s="1134"/>
      <c r="H23" s="1105"/>
      <c r="I23" s="1105"/>
    </row>
    <row r="24" spans="1:9" s="1599" customFormat="1" ht="19.5" customHeight="1">
      <c r="A24" s="3717"/>
      <c r="B24" s="3717" t="s">
        <v>1451</v>
      </c>
      <c r="C24" s="1131" t="s">
        <v>1461</v>
      </c>
      <c r="D24" s="1132"/>
      <c r="E24" s="1154">
        <v>0.5</v>
      </c>
      <c r="F24" s="1133"/>
      <c r="G24" s="1134"/>
      <c r="H24" s="1105"/>
      <c r="I24" s="1105"/>
    </row>
    <row r="25" spans="1:9" s="1599" customFormat="1" ht="19.5" customHeight="1">
      <c r="A25" s="3717"/>
      <c r="B25" s="3717"/>
      <c r="C25" s="1131" t="s">
        <v>1462</v>
      </c>
      <c r="D25" s="1132"/>
      <c r="E25" s="1154">
        <v>1.1000000000000001</v>
      </c>
      <c r="F25" s="1133"/>
      <c r="G25" s="1134"/>
      <c r="H25" s="1105"/>
      <c r="I25" s="1105"/>
    </row>
    <row r="26" spans="1:9" s="1599" customFormat="1" ht="19.5" customHeight="1">
      <c r="A26" s="3717"/>
      <c r="B26" s="3717"/>
      <c r="C26" s="1131" t="s">
        <v>1463</v>
      </c>
      <c r="D26" s="1132"/>
      <c r="E26" s="1154">
        <v>1.1000000000000001</v>
      </c>
      <c r="F26" s="1133"/>
      <c r="G26" s="1134"/>
      <c r="H26" s="1105"/>
      <c r="I26" s="1105"/>
    </row>
    <row r="27" spans="1:9" s="1599" customFormat="1" ht="19.5" customHeight="1">
      <c r="A27" s="3717"/>
      <c r="B27" s="3717"/>
      <c r="C27" s="1131" t="s">
        <v>1464</v>
      </c>
      <c r="D27" s="1132"/>
      <c r="E27" s="1154">
        <v>0.9</v>
      </c>
      <c r="F27" s="1133" t="s">
        <v>1465</v>
      </c>
      <c r="G27" s="1134"/>
      <c r="H27" s="1105"/>
      <c r="I27" s="1105"/>
    </row>
    <row r="28" spans="1:9" s="1599" customFormat="1" ht="19.5" customHeight="1">
      <c r="A28" s="3717"/>
      <c r="B28" s="3717"/>
      <c r="C28" s="1131" t="s">
        <v>1466</v>
      </c>
      <c r="D28" s="1132"/>
      <c r="E28" s="1154">
        <v>0.9</v>
      </c>
      <c r="F28" s="1133" t="s">
        <v>1467</v>
      </c>
      <c r="G28" s="1134"/>
      <c r="H28" s="1105"/>
      <c r="I28" s="1105"/>
    </row>
    <row r="29" spans="1:9" s="1599" customFormat="1" ht="19.5" customHeight="1">
      <c r="A29" s="3717"/>
      <c r="B29" s="3717"/>
      <c r="C29" s="1131" t="s">
        <v>1468</v>
      </c>
      <c r="D29" s="1132"/>
      <c r="E29" s="1154">
        <v>0.9</v>
      </c>
      <c r="F29" s="1133" t="s">
        <v>1469</v>
      </c>
      <c r="G29" s="1134"/>
      <c r="H29" s="1105"/>
      <c r="I29" s="1105"/>
    </row>
    <row r="30" spans="1:9" s="1599" customFormat="1" ht="19.5" customHeight="1">
      <c r="A30" s="3717"/>
      <c r="B30" s="3717"/>
      <c r="C30" s="1131" t="s">
        <v>1470</v>
      </c>
      <c r="D30" s="1132"/>
      <c r="E30" s="1154">
        <v>0.9</v>
      </c>
      <c r="F30" s="1133" t="s">
        <v>1471</v>
      </c>
      <c r="G30" s="1134"/>
      <c r="H30" s="1105"/>
      <c r="I30" s="1105"/>
    </row>
    <row r="31" spans="1:9" s="1599" customFormat="1" ht="19.5" customHeight="1">
      <c r="A31" s="3717"/>
      <c r="B31" s="3717"/>
      <c r="C31" s="1131" t="s">
        <v>1472</v>
      </c>
      <c r="D31" s="1132"/>
      <c r="E31" s="1154">
        <v>0.8</v>
      </c>
      <c r="F31" s="1133" t="s">
        <v>1473</v>
      </c>
      <c r="G31" s="1134"/>
      <c r="H31" s="1105"/>
      <c r="I31" s="1105"/>
    </row>
    <row r="32" spans="1:9" s="1599" customFormat="1" ht="19.5" customHeight="1">
      <c r="A32" s="3717"/>
      <c r="B32" s="3717"/>
      <c r="C32" s="1131" t="s">
        <v>1474</v>
      </c>
      <c r="D32" s="1132"/>
      <c r="E32" s="1154">
        <v>0.8</v>
      </c>
      <c r="F32" s="1133" t="s">
        <v>1475</v>
      </c>
      <c r="G32" s="1134"/>
      <c r="H32" s="1105"/>
      <c r="I32" s="1105"/>
    </row>
    <row r="33" spans="1:9" s="1599" customFormat="1" ht="19.5" customHeight="1">
      <c r="A33" s="3717" t="s">
        <v>1476</v>
      </c>
      <c r="B33" s="1154" t="s">
        <v>1448</v>
      </c>
      <c r="C33" s="1131" t="s">
        <v>1477</v>
      </c>
      <c r="D33" s="1132"/>
      <c r="E33" s="1154">
        <v>1</v>
      </c>
      <c r="F33" s="1133" t="s">
        <v>1478</v>
      </c>
      <c r="G33" s="1134"/>
      <c r="H33" s="1105"/>
      <c r="I33" s="1105"/>
    </row>
    <row r="34" spans="1:9" s="1599" customFormat="1" ht="19.5" customHeight="1">
      <c r="A34" s="3717"/>
      <c r="B34" s="1154" t="s">
        <v>1451</v>
      </c>
      <c r="C34" s="1131" t="s">
        <v>1479</v>
      </c>
      <c r="D34" s="1132"/>
      <c r="E34" s="1154">
        <v>1.5</v>
      </c>
      <c r="F34" s="1133" t="s">
        <v>1480</v>
      </c>
      <c r="G34" s="1134"/>
      <c r="H34" s="1105"/>
      <c r="I34" s="1105"/>
    </row>
    <row r="35" spans="1:9" s="1599" customFormat="1" ht="19.5" customHeight="1">
      <c r="A35" s="3717" t="s">
        <v>1434</v>
      </c>
      <c r="B35" s="1154" t="s">
        <v>1448</v>
      </c>
      <c r="C35" s="1131" t="s">
        <v>1481</v>
      </c>
      <c r="D35" s="1132"/>
      <c r="E35" s="1154">
        <v>1</v>
      </c>
      <c r="F35" s="1133" t="s">
        <v>1482</v>
      </c>
      <c r="G35" s="1134"/>
      <c r="H35" s="1105"/>
      <c r="I35" s="1105"/>
    </row>
    <row r="36" spans="1:9" s="1599" customFormat="1" ht="19.5" customHeight="1">
      <c r="A36" s="3717"/>
      <c r="B36" s="3717" t="s">
        <v>1451</v>
      </c>
      <c r="C36" s="1131" t="s">
        <v>1483</v>
      </c>
      <c r="D36" s="1132"/>
      <c r="E36" s="1154">
        <v>1</v>
      </c>
      <c r="F36" s="1133" t="s">
        <v>1484</v>
      </c>
      <c r="G36" s="1134"/>
      <c r="H36" s="1105"/>
      <c r="I36" s="1105"/>
    </row>
    <row r="37" spans="1:9" s="1599" customFormat="1" ht="19.5" customHeight="1">
      <c r="A37" s="3717"/>
      <c r="B37" s="3717"/>
      <c r="C37" s="1131" t="s">
        <v>1485</v>
      </c>
      <c r="D37" s="1132"/>
      <c r="E37" s="1154">
        <v>1.5</v>
      </c>
      <c r="F37" s="1133" t="s">
        <v>1486</v>
      </c>
      <c r="G37" s="1134"/>
      <c r="H37" s="1105"/>
      <c r="I37" s="1105"/>
    </row>
    <row r="38" spans="1:9" s="1599" customFormat="1" ht="19.5" customHeight="1">
      <c r="A38" s="3717"/>
      <c r="B38" s="3717"/>
      <c r="C38" s="1131" t="s">
        <v>1487</v>
      </c>
      <c r="D38" s="1132"/>
      <c r="E38" s="1154">
        <v>1</v>
      </c>
      <c r="F38" s="1133" t="s">
        <v>1488</v>
      </c>
      <c r="G38" s="1134"/>
      <c r="H38" s="1105"/>
      <c r="I38" s="1105"/>
    </row>
    <row r="39" spans="1:9" s="1599" customFormat="1" ht="19.5" customHeight="1">
      <c r="A39" s="3717"/>
      <c r="B39" s="3717"/>
      <c r="C39" s="1131" t="s">
        <v>1489</v>
      </c>
      <c r="D39" s="1132"/>
      <c r="E39" s="1154">
        <v>1</v>
      </c>
      <c r="F39" s="1133" t="s">
        <v>1490</v>
      </c>
      <c r="G39" s="1134"/>
      <c r="H39" s="1105"/>
      <c r="I39" s="1105"/>
    </row>
    <row r="40" spans="1:9" s="1599" customFormat="1" ht="19.5" customHeight="1">
      <c r="A40" s="1600" t="s">
        <v>1491</v>
      </c>
      <c r="B40" s="1600"/>
      <c r="C40" s="1600"/>
      <c r="D40" s="1600"/>
      <c r="E40" s="1600"/>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717" t="s">
        <v>1503</v>
      </c>
      <c r="C61" s="1068" t="s">
        <v>1504</v>
      </c>
      <c r="D61" s="1068" t="s">
        <v>1505</v>
      </c>
      <c r="E61" s="1139">
        <v>0.5</v>
      </c>
      <c r="F61" s="1154">
        <v>80</v>
      </c>
      <c r="H61" s="1105">
        <f>SUMIF(C59:C119,基准地价!C8,E59:E119)</f>
        <v>0</v>
      </c>
    </row>
    <row r="62" spans="1:8" s="1105" customFormat="1" ht="24">
      <c r="A62" s="1154">
        <v>2</v>
      </c>
      <c r="B62" s="3717"/>
      <c r="C62" s="1068" t="s">
        <v>1506</v>
      </c>
      <c r="D62" s="1068" t="s">
        <v>1507</v>
      </c>
      <c r="E62" s="1139">
        <v>0.5</v>
      </c>
      <c r="F62" s="1154">
        <v>80</v>
      </c>
    </row>
    <row r="63" spans="1:8" s="1105" customFormat="1" ht="36">
      <c r="A63" s="1154">
        <v>3</v>
      </c>
      <c r="B63" s="3717"/>
      <c r="C63" s="1068" t="s">
        <v>1508</v>
      </c>
      <c r="D63" s="1068" t="s">
        <v>1509</v>
      </c>
      <c r="E63" s="1139">
        <v>0.5</v>
      </c>
      <c r="F63" s="1154">
        <v>80</v>
      </c>
    </row>
    <row r="64" spans="1:8" s="1105" customFormat="1" ht="36">
      <c r="A64" s="1154">
        <v>4</v>
      </c>
      <c r="B64" s="3717"/>
      <c r="C64" s="1068" t="s">
        <v>1510</v>
      </c>
      <c r="D64" s="1068" t="s">
        <v>1511</v>
      </c>
      <c r="E64" s="1139">
        <v>0.4</v>
      </c>
      <c r="F64" s="1154">
        <v>60</v>
      </c>
    </row>
    <row r="65" spans="1:6" s="1105" customFormat="1" ht="36">
      <c r="A65" s="1154">
        <v>5</v>
      </c>
      <c r="B65" s="3717"/>
      <c r="C65" s="1068" t="s">
        <v>1512</v>
      </c>
      <c r="D65" s="1068" t="s">
        <v>1513</v>
      </c>
      <c r="E65" s="1139">
        <v>0.2</v>
      </c>
      <c r="F65" s="1154">
        <v>30</v>
      </c>
    </row>
    <row r="66" spans="1:6" s="1105" customFormat="1" ht="36">
      <c r="A66" s="1154">
        <v>6</v>
      </c>
      <c r="B66" s="3717"/>
      <c r="C66" s="1068" t="s">
        <v>1514</v>
      </c>
      <c r="D66" s="1068" t="s">
        <v>1515</v>
      </c>
      <c r="E66" s="1139">
        <v>0.3</v>
      </c>
      <c r="F66" s="1154">
        <v>50</v>
      </c>
    </row>
    <row r="67" spans="1:6" s="1105" customFormat="1" ht="36">
      <c r="A67" s="1154">
        <v>7</v>
      </c>
      <c r="B67" s="3717"/>
      <c r="C67" s="1068" t="s">
        <v>1516</v>
      </c>
      <c r="D67" s="1068" t="s">
        <v>1517</v>
      </c>
      <c r="E67" s="1139">
        <v>0.2</v>
      </c>
      <c r="F67" s="1154">
        <v>30</v>
      </c>
    </row>
    <row r="68" spans="1:6" s="1105" customFormat="1" ht="36">
      <c r="A68" s="1154">
        <v>8</v>
      </c>
      <c r="B68" s="3717"/>
      <c r="C68" s="1068" t="s">
        <v>1518</v>
      </c>
      <c r="D68" s="1068" t="s">
        <v>1519</v>
      </c>
      <c r="E68" s="1139">
        <v>0.2</v>
      </c>
      <c r="F68" s="1154">
        <v>30</v>
      </c>
    </row>
    <row r="69" spans="1:6" s="1105" customFormat="1" ht="36">
      <c r="A69" s="1154">
        <v>9</v>
      </c>
      <c r="B69" s="3717"/>
      <c r="C69" s="1068" t="s">
        <v>1520</v>
      </c>
      <c r="D69" s="1068" t="s">
        <v>1521</v>
      </c>
      <c r="E69" s="1139">
        <v>0.2</v>
      </c>
      <c r="F69" s="1154">
        <v>30</v>
      </c>
    </row>
    <row r="70" spans="1:6" s="1105" customFormat="1" ht="48">
      <c r="A70" s="1154">
        <v>10</v>
      </c>
      <c r="B70" s="3717"/>
      <c r="C70" s="1068" t="s">
        <v>1522</v>
      </c>
      <c r="D70" s="1068" t="s">
        <v>1523</v>
      </c>
      <c r="E70" s="1139">
        <v>0.2</v>
      </c>
      <c r="F70" s="1154">
        <v>30</v>
      </c>
    </row>
    <row r="71" spans="1:6" s="1105" customFormat="1" ht="48">
      <c r="A71" s="1154">
        <v>11</v>
      </c>
      <c r="B71" s="3717"/>
      <c r="C71" s="1068" t="s">
        <v>1524</v>
      </c>
      <c r="D71" s="1068" t="s">
        <v>1525</v>
      </c>
      <c r="E71" s="1139">
        <v>0.2</v>
      </c>
      <c r="F71" s="1154">
        <v>30</v>
      </c>
    </row>
    <row r="72" spans="1:6" s="1105" customFormat="1" ht="36">
      <c r="A72" s="1154">
        <v>12</v>
      </c>
      <c r="B72" s="3717"/>
      <c r="C72" s="1068" t="s">
        <v>1526</v>
      </c>
      <c r="D72" s="1068" t="s">
        <v>1527</v>
      </c>
      <c r="E72" s="1139">
        <v>0.5</v>
      </c>
      <c r="F72" s="1154">
        <v>80</v>
      </c>
    </row>
    <row r="73" spans="1:6" s="1105" customFormat="1" ht="24">
      <c r="A73" s="1154">
        <v>13</v>
      </c>
      <c r="B73" s="3717"/>
      <c r="C73" s="1068" t="s">
        <v>1528</v>
      </c>
      <c r="D73" s="1068" t="s">
        <v>1529</v>
      </c>
      <c r="E73" s="1139">
        <v>0.4</v>
      </c>
      <c r="F73" s="1154">
        <v>60</v>
      </c>
    </row>
    <row r="74" spans="1:6" s="1105" customFormat="1" ht="24">
      <c r="A74" s="1154">
        <v>14</v>
      </c>
      <c r="B74" s="3717"/>
      <c r="C74" s="1068" t="s">
        <v>1530</v>
      </c>
      <c r="D74" s="1068" t="s">
        <v>1531</v>
      </c>
      <c r="E74" s="1139">
        <v>0.2</v>
      </c>
      <c r="F74" s="1154">
        <v>30</v>
      </c>
    </row>
    <row r="75" spans="1:6" s="1105" customFormat="1" ht="24">
      <c r="A75" s="1154">
        <v>15</v>
      </c>
      <c r="B75" s="3717"/>
      <c r="C75" s="1068" t="s">
        <v>1532</v>
      </c>
      <c r="D75" s="1068" t="s">
        <v>1533</v>
      </c>
      <c r="E75" s="1139">
        <v>0.2</v>
      </c>
      <c r="F75" s="1154">
        <v>30</v>
      </c>
    </row>
    <row r="76" spans="1:6" s="1105" customFormat="1" ht="24">
      <c r="A76" s="1154">
        <v>16</v>
      </c>
      <c r="B76" s="3717" t="s">
        <v>1534</v>
      </c>
      <c r="C76" s="1068" t="s">
        <v>1535</v>
      </c>
      <c r="D76" s="1068" t="s">
        <v>1536</v>
      </c>
      <c r="E76" s="1139">
        <v>0.5</v>
      </c>
      <c r="F76" s="1154">
        <v>80</v>
      </c>
    </row>
    <row r="77" spans="1:6" s="1105" customFormat="1" ht="24">
      <c r="A77" s="1154">
        <v>17</v>
      </c>
      <c r="B77" s="3717"/>
      <c r="C77" s="1068" t="s">
        <v>1537</v>
      </c>
      <c r="D77" s="1068" t="s">
        <v>1538</v>
      </c>
      <c r="E77" s="1139">
        <v>0.5</v>
      </c>
      <c r="F77" s="1154">
        <v>80</v>
      </c>
    </row>
    <row r="78" spans="1:6" s="1105" customFormat="1" ht="24">
      <c r="A78" s="1154">
        <v>18</v>
      </c>
      <c r="B78" s="3717"/>
      <c r="C78" s="1068" t="s">
        <v>1539</v>
      </c>
      <c r="D78" s="1068" t="s">
        <v>1540</v>
      </c>
      <c r="E78" s="1139">
        <v>0.2</v>
      </c>
      <c r="F78" s="1154">
        <v>30</v>
      </c>
    </row>
    <row r="79" spans="1:6" s="1105" customFormat="1" ht="24">
      <c r="A79" s="1154">
        <v>19</v>
      </c>
      <c r="B79" s="3717"/>
      <c r="C79" s="1068" t="s">
        <v>1541</v>
      </c>
      <c r="D79" s="1068" t="s">
        <v>1542</v>
      </c>
      <c r="E79" s="1139">
        <v>0.5</v>
      </c>
      <c r="F79" s="1154">
        <v>80</v>
      </c>
    </row>
    <row r="80" spans="1:6" s="1105" customFormat="1" ht="36">
      <c r="A80" s="1154">
        <v>20</v>
      </c>
      <c r="B80" s="3717"/>
      <c r="C80" s="1068" t="s">
        <v>1543</v>
      </c>
      <c r="D80" s="1068" t="s">
        <v>1544</v>
      </c>
      <c r="E80" s="1139">
        <v>0.2</v>
      </c>
      <c r="F80" s="1154">
        <v>30</v>
      </c>
    </row>
    <row r="81" spans="1:6" s="1105" customFormat="1" ht="36">
      <c r="A81" s="1154">
        <v>21</v>
      </c>
      <c r="B81" s="3717"/>
      <c r="C81" s="1068" t="s">
        <v>1545</v>
      </c>
      <c r="D81" s="1068" t="s">
        <v>1546</v>
      </c>
      <c r="E81" s="1139">
        <v>0.2</v>
      </c>
      <c r="F81" s="1154">
        <v>30</v>
      </c>
    </row>
    <row r="82" spans="1:6" s="1105" customFormat="1" ht="48">
      <c r="A82" s="1154">
        <v>22</v>
      </c>
      <c r="B82" s="3717"/>
      <c r="C82" s="1068" t="s">
        <v>1547</v>
      </c>
      <c r="D82" s="1068" t="s">
        <v>1548</v>
      </c>
      <c r="E82" s="1139">
        <v>0.2</v>
      </c>
      <c r="F82" s="1154">
        <v>30</v>
      </c>
    </row>
    <row r="83" spans="1:6" s="1105" customFormat="1" ht="48">
      <c r="A83" s="1154">
        <v>23</v>
      </c>
      <c r="B83" s="3717"/>
      <c r="C83" s="1068" t="s">
        <v>1549</v>
      </c>
      <c r="D83" s="1068" t="s">
        <v>1550</v>
      </c>
      <c r="E83" s="1139">
        <v>0.2</v>
      </c>
      <c r="F83" s="1154">
        <v>30</v>
      </c>
    </row>
    <row r="84" spans="1:6" s="1105" customFormat="1" ht="36">
      <c r="A84" s="1154">
        <v>24</v>
      </c>
      <c r="B84" s="3717"/>
      <c r="C84" s="1068" t="s">
        <v>1551</v>
      </c>
      <c r="D84" s="1068" t="s">
        <v>1552</v>
      </c>
      <c r="E84" s="1139">
        <v>0.2</v>
      </c>
      <c r="F84" s="1154">
        <v>30</v>
      </c>
    </row>
    <row r="85" spans="1:6" s="1105" customFormat="1" ht="36">
      <c r="A85" s="1154">
        <v>25</v>
      </c>
      <c r="B85" s="3717"/>
      <c r="C85" s="1068" t="s">
        <v>1553</v>
      </c>
      <c r="D85" s="1068" t="s">
        <v>1554</v>
      </c>
      <c r="E85" s="1139">
        <v>0.5</v>
      </c>
      <c r="F85" s="1154">
        <v>80</v>
      </c>
    </row>
    <row r="86" spans="1:6" s="1105" customFormat="1" ht="36">
      <c r="A86" s="1154">
        <v>26</v>
      </c>
      <c r="B86" s="3717"/>
      <c r="C86" s="1068" t="s">
        <v>1555</v>
      </c>
      <c r="D86" s="1068" t="s">
        <v>1556</v>
      </c>
      <c r="E86" s="1139">
        <v>0.2</v>
      </c>
      <c r="F86" s="1154">
        <v>30</v>
      </c>
    </row>
    <row r="87" spans="1:6" s="1105" customFormat="1" ht="36">
      <c r="A87" s="1154">
        <v>27</v>
      </c>
      <c r="B87" s="3717"/>
      <c r="C87" s="1068" t="s">
        <v>1557</v>
      </c>
      <c r="D87" s="1068" t="s">
        <v>1558</v>
      </c>
      <c r="E87" s="1139">
        <v>0.2</v>
      </c>
      <c r="F87" s="1154">
        <v>30</v>
      </c>
    </row>
    <row r="88" spans="1:6" s="1105" customFormat="1" ht="36">
      <c r="A88" s="1154">
        <v>28</v>
      </c>
      <c r="B88" s="3717"/>
      <c r="C88" s="1068" t="s">
        <v>1559</v>
      </c>
      <c r="D88" s="1068" t="s">
        <v>1560</v>
      </c>
      <c r="E88" s="1139">
        <v>0.2</v>
      </c>
      <c r="F88" s="1154">
        <v>30</v>
      </c>
    </row>
    <row r="89" spans="1:6" s="1105" customFormat="1" ht="24">
      <c r="A89" s="1154">
        <v>29</v>
      </c>
      <c r="B89" s="3717"/>
      <c r="C89" s="1068" t="s">
        <v>1561</v>
      </c>
      <c r="D89" s="1068" t="s">
        <v>1562</v>
      </c>
      <c r="E89" s="1139">
        <v>0.2</v>
      </c>
      <c r="F89" s="1154">
        <v>30</v>
      </c>
    </row>
    <row r="90" spans="1:6" s="1105" customFormat="1" ht="24">
      <c r="A90" s="1154">
        <v>30</v>
      </c>
      <c r="B90" s="3717"/>
      <c r="C90" s="1068" t="s">
        <v>1563</v>
      </c>
      <c r="D90" s="1068" t="s">
        <v>1564</v>
      </c>
      <c r="E90" s="1139">
        <v>0.2</v>
      </c>
      <c r="F90" s="1154">
        <v>30</v>
      </c>
    </row>
    <row r="91" spans="1:6" s="1105" customFormat="1" ht="36">
      <c r="A91" s="1154">
        <v>31</v>
      </c>
      <c r="B91" s="3717"/>
      <c r="C91" s="1068" t="s">
        <v>1565</v>
      </c>
      <c r="D91" s="1068" t="s">
        <v>1566</v>
      </c>
      <c r="E91" s="1139">
        <v>0.2</v>
      </c>
      <c r="F91" s="1154">
        <v>30</v>
      </c>
    </row>
    <row r="92" spans="1:6" s="1105" customFormat="1" ht="24">
      <c r="A92" s="1154">
        <v>32</v>
      </c>
      <c r="B92" s="3717" t="s">
        <v>1567</v>
      </c>
      <c r="C92" s="1154" t="s">
        <v>1568</v>
      </c>
      <c r="D92" s="1068" t="s">
        <v>1569</v>
      </c>
      <c r="E92" s="1139">
        <v>0.2</v>
      </c>
      <c r="F92" s="1154">
        <v>30</v>
      </c>
    </row>
    <row r="93" spans="1:6" s="1105" customFormat="1" ht="36">
      <c r="A93" s="1154">
        <v>33</v>
      </c>
      <c r="B93" s="3717"/>
      <c r="C93" s="1154" t="s">
        <v>1570</v>
      </c>
      <c r="D93" s="1068" t="s">
        <v>1571</v>
      </c>
      <c r="E93" s="1139">
        <v>0.2</v>
      </c>
      <c r="F93" s="1154">
        <v>30</v>
      </c>
    </row>
    <row r="94" spans="1:6" s="1105" customFormat="1" ht="48">
      <c r="A94" s="1154">
        <v>34</v>
      </c>
      <c r="B94" s="3717"/>
      <c r="C94" s="1154" t="s">
        <v>1572</v>
      </c>
      <c r="D94" s="1068" t="s">
        <v>1573</v>
      </c>
      <c r="E94" s="1139">
        <v>0.2</v>
      </c>
      <c r="F94" s="1154">
        <v>30</v>
      </c>
    </row>
    <row r="95" spans="1:6" s="1105" customFormat="1" ht="36">
      <c r="A95" s="1154">
        <v>35</v>
      </c>
      <c r="B95" s="3717"/>
      <c r="C95" s="1154" t="s">
        <v>1574</v>
      </c>
      <c r="D95" s="1068" t="s">
        <v>1575</v>
      </c>
      <c r="E95" s="1139">
        <v>0.2</v>
      </c>
      <c r="F95" s="1154">
        <v>30</v>
      </c>
    </row>
    <row r="96" spans="1:6" s="1105" customFormat="1" ht="48">
      <c r="A96" s="1154">
        <v>36</v>
      </c>
      <c r="B96" s="3717"/>
      <c r="C96" s="1068" t="s">
        <v>1576</v>
      </c>
      <c r="D96" s="1068" t="s">
        <v>1577</v>
      </c>
      <c r="E96" s="1139">
        <v>0.2</v>
      </c>
      <c r="F96" s="1154">
        <v>30</v>
      </c>
    </row>
    <row r="97" spans="1:6" s="1105" customFormat="1" ht="36">
      <c r="A97" s="1154">
        <v>37</v>
      </c>
      <c r="B97" s="3717"/>
      <c r="C97" s="1154" t="s">
        <v>1578</v>
      </c>
      <c r="D97" s="1068" t="s">
        <v>1579</v>
      </c>
      <c r="E97" s="1139">
        <v>0.2</v>
      </c>
      <c r="F97" s="1154">
        <v>30</v>
      </c>
    </row>
    <row r="98" spans="1:6" s="1105" customFormat="1" ht="36">
      <c r="A98" s="1154">
        <v>38</v>
      </c>
      <c r="B98" s="3717"/>
      <c r="C98" s="1154" t="s">
        <v>1580</v>
      </c>
      <c r="D98" s="1068" t="s">
        <v>1581</v>
      </c>
      <c r="E98" s="1139">
        <v>0.2</v>
      </c>
      <c r="F98" s="1154">
        <v>30</v>
      </c>
    </row>
    <row r="99" spans="1:6" s="1105" customFormat="1" ht="36">
      <c r="A99" s="1154">
        <v>39</v>
      </c>
      <c r="B99" s="3717" t="s">
        <v>1582</v>
      </c>
      <c r="C99" s="1154" t="s">
        <v>1583</v>
      </c>
      <c r="D99" s="1068" t="s">
        <v>1584</v>
      </c>
      <c r="E99" s="1139">
        <v>0.3</v>
      </c>
      <c r="F99" s="1154">
        <v>50</v>
      </c>
    </row>
    <row r="100" spans="1:6" s="1105" customFormat="1" ht="24">
      <c r="A100" s="1154">
        <v>40</v>
      </c>
      <c r="B100" s="3717"/>
      <c r="C100" s="1154" t="s">
        <v>1585</v>
      </c>
      <c r="D100" s="1068" t="s">
        <v>1586</v>
      </c>
      <c r="E100" s="1139">
        <v>0.2</v>
      </c>
      <c r="F100" s="1154">
        <v>30</v>
      </c>
    </row>
    <row r="101" spans="1:6" s="1105" customFormat="1" ht="36">
      <c r="A101" s="1154">
        <v>41</v>
      </c>
      <c r="B101" s="3717"/>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717" t="s">
        <v>1597</v>
      </c>
      <c r="C105" s="1154" t="s">
        <v>1598</v>
      </c>
      <c r="D105" s="1068" t="s">
        <v>1599</v>
      </c>
      <c r="E105" s="1139">
        <v>0.2</v>
      </c>
      <c r="F105" s="1154">
        <v>30</v>
      </c>
    </row>
    <row r="106" spans="1:6" s="1105" customFormat="1" ht="36">
      <c r="A106" s="1154">
        <v>46</v>
      </c>
      <c r="B106" s="3717"/>
      <c r="C106" s="1154" t="s">
        <v>1600</v>
      </c>
      <c r="D106" s="1068" t="s">
        <v>1601</v>
      </c>
      <c r="E106" s="1139">
        <v>0.2</v>
      </c>
      <c r="F106" s="1154">
        <v>30</v>
      </c>
    </row>
    <row r="107" spans="1:6" s="1105" customFormat="1" ht="36">
      <c r="A107" s="1154">
        <v>47</v>
      </c>
      <c r="B107" s="3717" t="s">
        <v>1602</v>
      </c>
      <c r="C107" s="1154" t="s">
        <v>1603</v>
      </c>
      <c r="D107" s="1068" t="s">
        <v>1604</v>
      </c>
      <c r="E107" s="1139">
        <v>0.3</v>
      </c>
      <c r="F107" s="1154">
        <v>50</v>
      </c>
    </row>
    <row r="108" spans="1:6" s="1105" customFormat="1" ht="36">
      <c r="A108" s="1154">
        <v>48</v>
      </c>
      <c r="B108" s="3717"/>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717" t="s">
        <v>1613</v>
      </c>
      <c r="C111" s="1154" t="s">
        <v>1614</v>
      </c>
      <c r="D111" s="1068" t="s">
        <v>1615</v>
      </c>
      <c r="E111" s="1139">
        <v>0.2</v>
      </c>
      <c r="F111" s="1154">
        <v>30</v>
      </c>
    </row>
    <row r="112" spans="1:6" s="1105" customFormat="1" ht="24">
      <c r="A112" s="1154">
        <v>52</v>
      </c>
      <c r="B112" s="3717"/>
      <c r="C112" s="1154" t="s">
        <v>1616</v>
      </c>
      <c r="D112" s="1068" t="s">
        <v>1617</v>
      </c>
      <c r="E112" s="1139">
        <v>0.2</v>
      </c>
      <c r="F112" s="1154">
        <v>30</v>
      </c>
    </row>
    <row r="113" spans="1:14" s="1105" customFormat="1" ht="24">
      <c r="A113" s="1154">
        <v>53</v>
      </c>
      <c r="B113" s="3717"/>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717" t="s">
        <v>1626</v>
      </c>
      <c r="C116" s="1154" t="s">
        <v>1627</v>
      </c>
      <c r="D116" s="1068" t="s">
        <v>1628</v>
      </c>
      <c r="E116" s="1139">
        <v>0.2</v>
      </c>
      <c r="F116" s="1154">
        <v>30</v>
      </c>
    </row>
    <row r="117" spans="1:14" ht="36">
      <c r="A117" s="1154">
        <v>57</v>
      </c>
      <c r="B117" s="3717"/>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716" t="s">
        <v>1635</v>
      </c>
      <c r="B121" s="3716"/>
      <c r="C121" s="3716"/>
      <c r="D121" s="3716"/>
      <c r="E121" s="3716"/>
      <c r="F121" s="3716"/>
      <c r="G121" s="3716"/>
      <c r="H121" s="3716"/>
      <c r="I121" s="3716"/>
      <c r="J121" s="371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21" t="s">
        <v>1041</v>
      </c>
      <c r="B1" s="3721"/>
      <c r="C1" s="3721"/>
      <c r="D1" s="3721"/>
      <c r="E1" s="3721"/>
      <c r="F1" s="3721"/>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722" t="s">
        <v>1054</v>
      </c>
      <c r="B2" s="3722"/>
      <c r="C2" s="3722"/>
      <c r="D2" s="3722"/>
      <c r="E2" s="3722"/>
      <c r="F2" s="3722"/>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723"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724"/>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725" t="s">
        <v>2083</v>
      </c>
      <c r="B1" s="3725"/>
    </row>
    <row r="2" spans="1:6" ht="14.25" thickBot="1">
      <c r="A2" s="1852"/>
      <c r="B2" s="1852"/>
    </row>
    <row r="3" spans="1:6" ht="14.25" thickBot="1">
      <c r="A3" s="1852"/>
      <c r="B3" s="1852"/>
      <c r="C3" s="1853" t="s">
        <v>2084</v>
      </c>
      <c r="D3" s="1853" t="s">
        <v>2085</v>
      </c>
      <c r="E3" s="1853" t="s">
        <v>2086</v>
      </c>
      <c r="F3" s="1853" t="s">
        <v>2087</v>
      </c>
    </row>
    <row r="4" spans="1:6" ht="14.25" thickBot="1">
      <c r="A4" s="1854" t="s">
        <v>2088</v>
      </c>
      <c r="B4" s="1855" t="s">
        <v>2089</v>
      </c>
      <c r="C4" s="1853"/>
      <c r="D4" s="1853"/>
      <c r="E4" s="1853"/>
      <c r="F4" s="1853"/>
    </row>
    <row r="5" spans="1:6" ht="14.25" thickBot="1">
      <c r="A5" s="1856" t="s">
        <v>2090</v>
      </c>
      <c r="B5" s="1857" t="s">
        <v>2091</v>
      </c>
      <c r="C5" s="1858">
        <v>8.8999999999999996E-2</v>
      </c>
      <c r="D5" s="1858">
        <v>7.3999999999999996E-2</v>
      </c>
      <c r="E5" s="1858">
        <v>7.4999999999999997E-2</v>
      </c>
      <c r="F5" s="1859">
        <v>0.1</v>
      </c>
    </row>
    <row r="6" spans="1:6" ht="14.25" thickBot="1">
      <c r="A6" s="1856" t="s">
        <v>1098</v>
      </c>
      <c r="B6" s="1860" t="s">
        <v>2092</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2093</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2094</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2095</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2096</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2097</v>
      </c>
      <c r="C72" s="1870"/>
      <c r="D72" s="1870"/>
      <c r="E72" s="1870"/>
      <c r="F72" s="1862">
        <v>0.05</v>
      </c>
    </row>
    <row r="73" spans="1:6" ht="14.25" thickBot="1">
      <c r="A73" s="1856" t="s">
        <v>926</v>
      </c>
      <c r="B73" s="1860" t="s">
        <v>2098</v>
      </c>
      <c r="C73" s="1870"/>
      <c r="D73" s="1870"/>
      <c r="E73" s="1870"/>
      <c r="F73" s="1862">
        <v>0.05</v>
      </c>
    </row>
    <row r="74" spans="1:6" ht="14.25" thickBot="1">
      <c r="A74" s="1856" t="s">
        <v>926</v>
      </c>
      <c r="B74" s="1860" t="s">
        <v>2099</v>
      </c>
      <c r="C74" s="1870"/>
      <c r="D74" s="1870"/>
      <c r="E74" s="1870"/>
      <c r="F74" s="1862">
        <v>0.05</v>
      </c>
    </row>
    <row r="75" spans="1:6" ht="14.25" thickBot="1">
      <c r="A75" s="1864" t="s">
        <v>926</v>
      </c>
      <c r="B75" s="1871" t="s">
        <v>2100</v>
      </c>
      <c r="C75" s="1867"/>
      <c r="D75" s="1867"/>
      <c r="E75" s="1867"/>
      <c r="F75" s="1872">
        <v>0.05</v>
      </c>
    </row>
    <row r="76" spans="1:6" ht="14.25" thickBot="1">
      <c r="A76" s="1856" t="s">
        <v>1409</v>
      </c>
      <c r="B76" s="1857" t="s">
        <v>2101</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2102</v>
      </c>
      <c r="C102" s="1870"/>
      <c r="D102" s="1870"/>
      <c r="E102" s="1870"/>
      <c r="F102" s="1862">
        <v>0.05</v>
      </c>
    </row>
    <row r="103" spans="1:6" ht="24.75" thickBot="1">
      <c r="A103" s="1856" t="s">
        <v>1409</v>
      </c>
      <c r="B103" s="1860" t="s">
        <v>2103</v>
      </c>
      <c r="C103" s="1870"/>
      <c r="D103" s="1870"/>
      <c r="E103" s="1870"/>
      <c r="F103" s="1862">
        <v>0.05</v>
      </c>
    </row>
    <row r="104" spans="1:6" ht="14.25" thickBot="1">
      <c r="A104" s="1856" t="s">
        <v>1409</v>
      </c>
      <c r="B104" s="1860" t="s">
        <v>2104</v>
      </c>
      <c r="C104" s="1870"/>
      <c r="D104" s="1870"/>
      <c r="E104" s="1870"/>
      <c r="F104" s="1862">
        <v>0.05</v>
      </c>
    </row>
    <row r="105" spans="1:6" ht="14.25" thickBot="1">
      <c r="A105" s="1856" t="s">
        <v>1409</v>
      </c>
      <c r="B105" s="1860" t="s">
        <v>2105</v>
      </c>
      <c r="C105" s="1870"/>
      <c r="D105" s="1870"/>
      <c r="E105" s="1870"/>
      <c r="F105" s="1862">
        <v>0.05</v>
      </c>
    </row>
    <row r="106" spans="1:6" ht="14.25" thickBot="1">
      <c r="A106" s="1856" t="s">
        <v>1409</v>
      </c>
      <c r="B106" s="1860" t="s">
        <v>2106</v>
      </c>
      <c r="C106" s="1870"/>
      <c r="D106" s="1870"/>
      <c r="E106" s="1870"/>
      <c r="F106" s="1862">
        <v>0.05</v>
      </c>
    </row>
    <row r="107" spans="1:6" ht="24.75" thickBot="1">
      <c r="A107" s="1856" t="s">
        <v>1409</v>
      </c>
      <c r="B107" s="1860" t="s">
        <v>2107</v>
      </c>
      <c r="C107" s="1870"/>
      <c r="D107" s="1870"/>
      <c r="E107" s="1870"/>
      <c r="F107" s="1862">
        <v>0.05</v>
      </c>
    </row>
    <row r="108" spans="1:6" ht="24.75" thickBot="1">
      <c r="A108" s="1856" t="s">
        <v>1409</v>
      </c>
      <c r="B108" s="1860" t="s">
        <v>2108</v>
      </c>
      <c r="C108" s="1870"/>
      <c r="D108" s="1870"/>
      <c r="E108" s="1870"/>
      <c r="F108" s="1862">
        <v>0.05</v>
      </c>
    </row>
    <row r="109" spans="1:6" ht="24.75" thickBot="1">
      <c r="A109" s="1864" t="s">
        <v>1409</v>
      </c>
      <c r="B109" s="1871" t="s">
        <v>2109</v>
      </c>
      <c r="C109" s="1867"/>
      <c r="D109" s="1867"/>
      <c r="E109" s="1867"/>
      <c r="F109" s="1872">
        <v>0.05</v>
      </c>
    </row>
    <row r="110" spans="1:6" ht="14.25" thickBot="1">
      <c r="A110" s="1856" t="s">
        <v>1411</v>
      </c>
      <c r="B110" s="1857" t="s">
        <v>2110</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2111</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2112</v>
      </c>
      <c r="C138" s="1861">
        <v>0.105</v>
      </c>
      <c r="D138" s="1861">
        <v>0.125</v>
      </c>
      <c r="E138" s="1861">
        <v>0.112</v>
      </c>
      <c r="F138" s="1869"/>
    </row>
    <row r="139" spans="1:6" ht="14.25" thickBot="1">
      <c r="A139" s="1856" t="s">
        <v>1411</v>
      </c>
      <c r="B139" s="1860" t="s">
        <v>2113</v>
      </c>
      <c r="C139" s="1861">
        <v>0.127</v>
      </c>
      <c r="D139" s="1861">
        <v>0.127</v>
      </c>
      <c r="E139" s="1861">
        <v>0.122</v>
      </c>
      <c r="F139" s="1862">
        <v>0.13</v>
      </c>
    </row>
    <row r="140" spans="1:6" ht="14.25" thickBot="1">
      <c r="A140" s="1856" t="s">
        <v>1411</v>
      </c>
      <c r="B140" s="1860" t="s">
        <v>2114</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2115</v>
      </c>
      <c r="C144" s="1874">
        <v>0.126</v>
      </c>
      <c r="D144" s="1874">
        <v>0.126</v>
      </c>
      <c r="E144" s="1874">
        <v>0.121</v>
      </c>
      <c r="F144" s="1869"/>
    </row>
    <row r="145" spans="1:6" ht="14.25" thickBot="1">
      <c r="A145" s="1864" t="s">
        <v>1411</v>
      </c>
      <c r="B145" s="1875" t="s">
        <v>2116</v>
      </c>
      <c r="C145" s="1876"/>
      <c r="D145" s="1876"/>
      <c r="E145" s="1876"/>
      <c r="F145" s="1877">
        <v>0.05</v>
      </c>
    </row>
    <row r="146" spans="1:6" ht="24.75" thickBot="1">
      <c r="A146" s="1878" t="s">
        <v>1411</v>
      </c>
      <c r="B146" s="1863" t="s">
        <v>2117</v>
      </c>
      <c r="C146" s="1870"/>
      <c r="D146" s="1870"/>
      <c r="E146" s="1870"/>
      <c r="F146" s="1879">
        <v>0.05</v>
      </c>
    </row>
    <row r="147" spans="1:6" ht="24.75" thickBot="1">
      <c r="A147" s="1856" t="s">
        <v>1411</v>
      </c>
      <c r="B147" s="1860" t="s">
        <v>2118</v>
      </c>
      <c r="C147" s="1870"/>
      <c r="D147" s="1870"/>
      <c r="E147" s="1870"/>
      <c r="F147" s="1862">
        <v>0.05</v>
      </c>
    </row>
    <row r="148" spans="1:6" ht="24.75" thickBot="1">
      <c r="A148" s="1856" t="s">
        <v>1411</v>
      </c>
      <c r="B148" s="1860" t="s">
        <v>2119</v>
      </c>
      <c r="C148" s="1870"/>
      <c r="D148" s="1870"/>
      <c r="E148" s="1870"/>
      <c r="F148" s="1862">
        <v>0.05</v>
      </c>
    </row>
    <row r="149" spans="1:6" ht="24.75" thickBot="1">
      <c r="A149" s="1856" t="s">
        <v>1411</v>
      </c>
      <c r="B149" s="1860" t="s">
        <v>2120</v>
      </c>
      <c r="C149" s="1870"/>
      <c r="D149" s="1870"/>
      <c r="E149" s="1870"/>
      <c r="F149" s="1862">
        <v>0.05</v>
      </c>
    </row>
    <row r="150" spans="1:6" ht="24.75" thickBot="1">
      <c r="A150" s="1856" t="s">
        <v>1411</v>
      </c>
      <c r="B150" s="1860" t="s">
        <v>2121</v>
      </c>
      <c r="C150" s="1870"/>
      <c r="D150" s="1870"/>
      <c r="E150" s="1870"/>
      <c r="F150" s="1862">
        <v>0.05</v>
      </c>
    </row>
    <row r="151" spans="1:6" ht="24.75" thickBot="1">
      <c r="A151" s="1856" t="s">
        <v>1411</v>
      </c>
      <c r="B151" s="1860" t="s">
        <v>2122</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2123</v>
      </c>
      <c r="C153" s="1870"/>
      <c r="D153" s="1870"/>
      <c r="E153" s="1870"/>
      <c r="F153" s="1862">
        <v>0.05</v>
      </c>
    </row>
    <row r="154" spans="1:6" ht="14.25" thickBot="1">
      <c r="A154" s="1856" t="s">
        <v>1411</v>
      </c>
      <c r="B154" s="1860" t="s">
        <v>2124</v>
      </c>
      <c r="C154" s="1870"/>
      <c r="D154" s="1870"/>
      <c r="E154" s="1870"/>
      <c r="F154" s="1862">
        <v>0.05</v>
      </c>
    </row>
    <row r="155" spans="1:6" ht="24.75" thickBot="1">
      <c r="A155" s="1856" t="s">
        <v>1411</v>
      </c>
      <c r="B155" s="1860" t="s">
        <v>2125</v>
      </c>
      <c r="C155" s="1870"/>
      <c r="D155" s="1870"/>
      <c r="E155" s="1870"/>
      <c r="F155" s="1862">
        <v>0.05</v>
      </c>
    </row>
    <row r="156" spans="1:6" ht="24.75" thickBot="1">
      <c r="A156" s="1856" t="s">
        <v>1411</v>
      </c>
      <c r="B156" s="1860" t="s">
        <v>2126</v>
      </c>
      <c r="C156" s="1870"/>
      <c r="D156" s="1870"/>
      <c r="E156" s="1870"/>
      <c r="F156" s="1862">
        <v>0.05</v>
      </c>
    </row>
    <row r="157" spans="1:6" ht="14.25" thickBot="1">
      <c r="A157" s="1864" t="s">
        <v>1411</v>
      </c>
      <c r="B157" s="1871" t="s">
        <v>2127</v>
      </c>
      <c r="C157" s="1867"/>
      <c r="D157" s="1867"/>
      <c r="E157" s="1867"/>
      <c r="F157" s="1872">
        <v>0.05</v>
      </c>
    </row>
    <row r="158" spans="1:6" ht="14.25" thickBot="1">
      <c r="A158" s="1856" t="s">
        <v>1413</v>
      </c>
      <c r="B158" s="1857" t="s">
        <v>2128</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2129</v>
      </c>
      <c r="C171" s="1861">
        <v>0.127</v>
      </c>
      <c r="D171" s="1861">
        <v>0.126</v>
      </c>
      <c r="E171" s="1861">
        <v>0.126</v>
      </c>
      <c r="F171" s="1862">
        <v>0.11799999999999999</v>
      </c>
    </row>
    <row r="172" spans="1:6" ht="14.25" thickBot="1">
      <c r="A172" s="1856" t="s">
        <v>1413</v>
      </c>
      <c r="B172" s="1860" t="s">
        <v>2130</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2131</v>
      </c>
      <c r="C174" s="1861">
        <v>0.13</v>
      </c>
      <c r="D174" s="1861">
        <v>0.13</v>
      </c>
      <c r="E174" s="1861">
        <v>0.13</v>
      </c>
      <c r="F174" s="1862">
        <v>0.13</v>
      </c>
    </row>
    <row r="175" spans="1:6" ht="14.25" thickBot="1">
      <c r="A175" s="1856" t="s">
        <v>1413</v>
      </c>
      <c r="B175" s="1860" t="s">
        <v>2132</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2133</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2134</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2135</v>
      </c>
      <c r="C185" s="1861">
        <v>0.127</v>
      </c>
      <c r="D185" s="1861">
        <v>0.127</v>
      </c>
      <c r="E185" s="1861">
        <v>0.128</v>
      </c>
      <c r="F185" s="1862">
        <v>0.13</v>
      </c>
    </row>
    <row r="186" spans="1:6" ht="24.75" thickBot="1">
      <c r="A186" s="1856" t="s">
        <v>1413</v>
      </c>
      <c r="B186" s="1860" t="s">
        <v>2136</v>
      </c>
      <c r="C186" s="1870"/>
      <c r="D186" s="1870"/>
      <c r="E186" s="1870"/>
      <c r="F186" s="1862">
        <v>0.05</v>
      </c>
    </row>
    <row r="187" spans="1:6" ht="14.25" thickBot="1">
      <c r="A187" s="1856" t="s">
        <v>1413</v>
      </c>
      <c r="B187" s="1860" t="s">
        <v>2137</v>
      </c>
      <c r="C187" s="1870"/>
      <c r="D187" s="1870"/>
      <c r="E187" s="1870"/>
      <c r="F187" s="1862">
        <v>0.05</v>
      </c>
    </row>
    <row r="188" spans="1:6" ht="14.25" thickBot="1">
      <c r="A188" s="1856" t="s">
        <v>1413</v>
      </c>
      <c r="B188" s="1860" t="s">
        <v>2138</v>
      </c>
      <c r="C188" s="1870"/>
      <c r="D188" s="1870"/>
      <c r="E188" s="1870"/>
      <c r="F188" s="1862">
        <v>0.05</v>
      </c>
    </row>
    <row r="189" spans="1:6" ht="24.75" thickBot="1">
      <c r="A189" s="1856" t="s">
        <v>1413</v>
      </c>
      <c r="B189" s="1860" t="s">
        <v>2139</v>
      </c>
      <c r="C189" s="1870"/>
      <c r="D189" s="1870"/>
      <c r="E189" s="1870"/>
      <c r="F189" s="1862">
        <v>0.05</v>
      </c>
    </row>
    <row r="190" spans="1:6" ht="24.75" thickBot="1">
      <c r="A190" s="1856" t="s">
        <v>1413</v>
      </c>
      <c r="B190" s="1860" t="s">
        <v>2140</v>
      </c>
      <c r="C190" s="1870"/>
      <c r="D190" s="1870"/>
      <c r="E190" s="1870"/>
      <c r="F190" s="1862">
        <v>0.05</v>
      </c>
    </row>
    <row r="191" spans="1:6" ht="24.75" thickBot="1">
      <c r="A191" s="1856" t="s">
        <v>1413</v>
      </c>
      <c r="B191" s="1860" t="s">
        <v>2141</v>
      </c>
      <c r="C191" s="1870"/>
      <c r="D191" s="1870"/>
      <c r="E191" s="1870"/>
      <c r="F191" s="1862">
        <v>0.05</v>
      </c>
    </row>
    <row r="192" spans="1:6" ht="24.75" thickBot="1">
      <c r="A192" s="1856" t="s">
        <v>1413</v>
      </c>
      <c r="B192" s="1860" t="s">
        <v>2142</v>
      </c>
      <c r="C192" s="1870"/>
      <c r="D192" s="1870"/>
      <c r="E192" s="1870"/>
      <c r="F192" s="1862">
        <v>0.05</v>
      </c>
    </row>
    <row r="193" spans="1:6" ht="24.75" thickBot="1">
      <c r="A193" s="1856" t="s">
        <v>1413</v>
      </c>
      <c r="B193" s="1860" t="s">
        <v>2143</v>
      </c>
      <c r="C193" s="1870"/>
      <c r="D193" s="1870"/>
      <c r="E193" s="1870"/>
      <c r="F193" s="1862">
        <v>0.05</v>
      </c>
    </row>
    <row r="194" spans="1:6" ht="24.75" thickBot="1">
      <c r="A194" s="1856" t="s">
        <v>1413</v>
      </c>
      <c r="B194" s="1860" t="s">
        <v>2144</v>
      </c>
      <c r="C194" s="1870"/>
      <c r="D194" s="1870"/>
      <c r="E194" s="1870"/>
      <c r="F194" s="1862">
        <v>0.05</v>
      </c>
    </row>
    <row r="195" spans="1:6" ht="14.25" thickBot="1">
      <c r="A195" s="1856" t="s">
        <v>1413</v>
      </c>
      <c r="B195" s="1860" t="s">
        <v>2145</v>
      </c>
      <c r="C195" s="1870"/>
      <c r="D195" s="1870"/>
      <c r="E195" s="1870"/>
      <c r="F195" s="1862">
        <v>0.05</v>
      </c>
    </row>
    <row r="196" spans="1:6" ht="24.75" thickBot="1">
      <c r="A196" s="1856" t="s">
        <v>1413</v>
      </c>
      <c r="B196" s="1860" t="s">
        <v>2146</v>
      </c>
      <c r="C196" s="1870"/>
      <c r="D196" s="1870"/>
      <c r="E196" s="1870"/>
      <c r="F196" s="1862">
        <v>0.05</v>
      </c>
    </row>
    <row r="197" spans="1:6" ht="24.75" thickBot="1">
      <c r="A197" s="1856" t="s">
        <v>1413</v>
      </c>
      <c r="B197" s="1860" t="s">
        <v>2147</v>
      </c>
      <c r="C197" s="1870"/>
      <c r="D197" s="1870"/>
      <c r="E197" s="1870"/>
      <c r="F197" s="1862">
        <v>0.05</v>
      </c>
    </row>
    <row r="198" spans="1:6" ht="24.75" thickBot="1">
      <c r="A198" s="1856" t="s">
        <v>1413</v>
      </c>
      <c r="B198" s="1860" t="s">
        <v>2148</v>
      </c>
      <c r="C198" s="1870"/>
      <c r="D198" s="1870"/>
      <c r="E198" s="1870"/>
      <c r="F198" s="1862">
        <v>0.05</v>
      </c>
    </row>
    <row r="199" spans="1:6" ht="24.75" thickBot="1">
      <c r="A199" s="1856" t="s">
        <v>1413</v>
      </c>
      <c r="B199" s="1860" t="s">
        <v>2149</v>
      </c>
      <c r="C199" s="1870"/>
      <c r="D199" s="1870"/>
      <c r="E199" s="1870"/>
      <c r="F199" s="1862">
        <v>0.05</v>
      </c>
    </row>
    <row r="200" spans="1:6" ht="24.75" thickBot="1">
      <c r="A200" s="1856" t="s">
        <v>1413</v>
      </c>
      <c r="B200" s="1860" t="s">
        <v>2150</v>
      </c>
      <c r="C200" s="1870"/>
      <c r="D200" s="1870"/>
      <c r="E200" s="1870"/>
      <c r="F200" s="1862">
        <v>0.05</v>
      </c>
    </row>
    <row r="201" spans="1:6" ht="24.75" thickBot="1">
      <c r="A201" s="1856" t="s">
        <v>1413</v>
      </c>
      <c r="B201" s="1860" t="s">
        <v>2151</v>
      </c>
      <c r="C201" s="1870"/>
      <c r="D201" s="1870"/>
      <c r="E201" s="1870"/>
      <c r="F201" s="1862">
        <v>0.05</v>
      </c>
    </row>
    <row r="202" spans="1:6" ht="24.75" thickBot="1">
      <c r="A202" s="1856" t="s">
        <v>1413</v>
      </c>
      <c r="B202" s="1860" t="s">
        <v>2152</v>
      </c>
      <c r="C202" s="1870"/>
      <c r="D202" s="1870"/>
      <c r="E202" s="1870"/>
      <c r="F202" s="1862">
        <v>0.05</v>
      </c>
    </row>
    <row r="203" spans="1:6" ht="24.75" thickBot="1">
      <c r="A203" s="1856" t="s">
        <v>1413</v>
      </c>
      <c r="B203" s="1860" t="s">
        <v>2153</v>
      </c>
      <c r="C203" s="1870"/>
      <c r="D203" s="1870"/>
      <c r="E203" s="1870"/>
      <c r="F203" s="1862">
        <v>0.05</v>
      </c>
    </row>
    <row r="204" spans="1:6" ht="14.25" thickBot="1">
      <c r="A204" s="1856" t="s">
        <v>1413</v>
      </c>
      <c r="B204" s="1860" t="s">
        <v>2154</v>
      </c>
      <c r="C204" s="1870"/>
      <c r="D204" s="1870"/>
      <c r="E204" s="1870"/>
      <c r="F204" s="1862">
        <v>0.05</v>
      </c>
    </row>
    <row r="205" spans="1:6" ht="14.25" thickBot="1">
      <c r="A205" s="1864" t="s">
        <v>1413</v>
      </c>
      <c r="B205" s="1871" t="s">
        <v>2155</v>
      </c>
      <c r="C205" s="1867"/>
      <c r="D205" s="1867"/>
      <c r="E205" s="1867"/>
      <c r="F205" s="1872">
        <v>0.05</v>
      </c>
    </row>
    <row r="206" spans="1:6" ht="14.25" thickBot="1">
      <c r="A206" s="1856" t="s">
        <v>1415</v>
      </c>
      <c r="B206" s="1857" t="s">
        <v>2156</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2157</v>
      </c>
      <c r="C210" s="1861">
        <v>0.15</v>
      </c>
      <c r="D210" s="1861">
        <v>0.15</v>
      </c>
      <c r="E210" s="1861">
        <v>0.15</v>
      </c>
      <c r="F210" s="1862">
        <v>0.13800000000000001</v>
      </c>
    </row>
    <row r="211" spans="1:6" ht="14.25" thickBot="1">
      <c r="A211" s="1856" t="s">
        <v>1415</v>
      </c>
      <c r="B211" s="1860" t="s">
        <v>2158</v>
      </c>
      <c r="C211" s="1861">
        <v>0.13700000000000001</v>
      </c>
      <c r="D211" s="1861">
        <v>0.13500000000000001</v>
      </c>
      <c r="E211" s="1861">
        <v>0.13600000000000001</v>
      </c>
      <c r="F211" s="1862">
        <v>0.1</v>
      </c>
    </row>
    <row r="212" spans="1:6" ht="14.25" thickBot="1">
      <c r="A212" s="1856" t="s">
        <v>1415</v>
      </c>
      <c r="B212" s="1860" t="s">
        <v>2159</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2160</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2161</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2162</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2163</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2164</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2165</v>
      </c>
      <c r="C231" s="1861">
        <v>0.128</v>
      </c>
      <c r="D231" s="1861">
        <v>0.125</v>
      </c>
      <c r="E231" s="1861">
        <v>0.13200000000000001</v>
      </c>
      <c r="F231" s="1869"/>
    </row>
    <row r="232" spans="1:6" ht="14.25" thickBot="1">
      <c r="A232" s="1856" t="s">
        <v>1415</v>
      </c>
      <c r="B232" s="1860" t="s">
        <v>2166</v>
      </c>
      <c r="C232" s="1861">
        <v>0.14499999999999999</v>
      </c>
      <c r="D232" s="1861">
        <v>0.14399999999999999</v>
      </c>
      <c r="E232" s="1861">
        <v>0.14599999999999999</v>
      </c>
      <c r="F232" s="1862">
        <v>0.13800000000000001</v>
      </c>
    </row>
    <row r="233" spans="1:6" ht="14.25" thickBot="1">
      <c r="A233" s="1856" t="s">
        <v>1415</v>
      </c>
      <c r="B233" s="1860" t="s">
        <v>2167</v>
      </c>
      <c r="C233" s="1861">
        <v>0.14499999999999999</v>
      </c>
      <c r="D233" s="1861">
        <v>0.14299999999999999</v>
      </c>
      <c r="E233" s="1861">
        <v>0.14199999999999999</v>
      </c>
      <c r="F233" s="1869"/>
    </row>
    <row r="234" spans="1:6" ht="14.25" thickBot="1">
      <c r="A234" s="1856" t="s">
        <v>1415</v>
      </c>
      <c r="B234" s="1860" t="s">
        <v>2168</v>
      </c>
      <c r="C234" s="1861">
        <v>0.14000000000000001</v>
      </c>
      <c r="D234" s="1861">
        <v>0.14000000000000001</v>
      </c>
      <c r="E234" s="1861">
        <v>0.14399999999999999</v>
      </c>
      <c r="F234" s="1869"/>
    </row>
    <row r="235" spans="1:6" ht="14.25" thickBot="1">
      <c r="A235" s="1856" t="s">
        <v>1415</v>
      </c>
      <c r="B235" s="1860" t="s">
        <v>2169</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2170</v>
      </c>
      <c r="C237" s="1870"/>
      <c r="D237" s="1870"/>
      <c r="E237" s="1870"/>
      <c r="F237" s="1862">
        <v>0.05</v>
      </c>
    </row>
    <row r="238" spans="1:6" ht="24.75" thickBot="1">
      <c r="A238" s="1856" t="s">
        <v>1415</v>
      </c>
      <c r="B238" s="1860" t="s">
        <v>2171</v>
      </c>
      <c r="C238" s="1870"/>
      <c r="D238" s="1870"/>
      <c r="E238" s="1870"/>
      <c r="F238" s="1862">
        <v>0.05</v>
      </c>
    </row>
    <row r="239" spans="1:6" ht="24.75" thickBot="1">
      <c r="A239" s="1856" t="s">
        <v>1415</v>
      </c>
      <c r="B239" s="1860" t="s">
        <v>2172</v>
      </c>
      <c r="C239" s="1870"/>
      <c r="D239" s="1870"/>
      <c r="E239" s="1870"/>
      <c r="F239" s="1862">
        <v>0.05</v>
      </c>
    </row>
    <row r="240" spans="1:6" ht="24.75" thickBot="1">
      <c r="A240" s="1856" t="s">
        <v>1415</v>
      </c>
      <c r="B240" s="1860" t="s">
        <v>2173</v>
      </c>
      <c r="C240" s="1870"/>
      <c r="D240" s="1870"/>
      <c r="E240" s="1870"/>
      <c r="F240" s="1862">
        <v>0.05</v>
      </c>
    </row>
    <row r="241" spans="1:6" ht="24.75" thickBot="1">
      <c r="A241" s="1856" t="s">
        <v>1415</v>
      </c>
      <c r="B241" s="1860" t="s">
        <v>2174</v>
      </c>
      <c r="C241" s="1870"/>
      <c r="D241" s="1870"/>
      <c r="E241" s="1870"/>
      <c r="F241" s="1862">
        <v>0.05</v>
      </c>
    </row>
    <row r="242" spans="1:6" ht="24.75" thickBot="1">
      <c r="A242" s="1856" t="s">
        <v>1415</v>
      </c>
      <c r="B242" s="1860" t="s">
        <v>2175</v>
      </c>
      <c r="C242" s="1870"/>
      <c r="D242" s="1870"/>
      <c r="E242" s="1870"/>
      <c r="F242" s="1862">
        <v>0.05</v>
      </c>
    </row>
    <row r="243" spans="1:6" ht="24.75" thickBot="1">
      <c r="A243" s="1856" t="s">
        <v>1415</v>
      </c>
      <c r="B243" s="1860" t="s">
        <v>2176</v>
      </c>
      <c r="C243" s="1870"/>
      <c r="D243" s="1870"/>
      <c r="E243" s="1870"/>
      <c r="F243" s="1862">
        <v>0.05</v>
      </c>
    </row>
    <row r="244" spans="1:6" ht="24.75" thickBot="1">
      <c r="A244" s="1864" t="s">
        <v>1415</v>
      </c>
      <c r="B244" s="1871" t="s">
        <v>2177</v>
      </c>
      <c r="C244" s="1867"/>
      <c r="D244" s="1867"/>
      <c r="E244" s="1867"/>
      <c r="F244" s="1872">
        <v>0.05</v>
      </c>
    </row>
    <row r="245" spans="1:6" ht="14.25" thickBot="1">
      <c r="A245" s="1856" t="s">
        <v>1417</v>
      </c>
      <c r="B245" s="1857" t="s">
        <v>2178</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2179</v>
      </c>
      <c r="C247" s="1861">
        <v>0.15</v>
      </c>
      <c r="D247" s="1861">
        <v>0.15</v>
      </c>
      <c r="E247" s="1861">
        <v>0.15</v>
      </c>
      <c r="F247" s="1862">
        <v>0.15</v>
      </c>
    </row>
    <row r="248" spans="1:6" ht="14.25" thickBot="1">
      <c r="A248" s="1856" t="s">
        <v>1417</v>
      </c>
      <c r="B248" s="1860" t="s">
        <v>2180</v>
      </c>
      <c r="C248" s="1861">
        <v>0.15</v>
      </c>
      <c r="D248" s="1861">
        <v>0.15</v>
      </c>
      <c r="E248" s="1861">
        <v>0.15</v>
      </c>
      <c r="F248" s="1862">
        <v>0.14000000000000001</v>
      </c>
    </row>
    <row r="249" spans="1:6" ht="14.25" thickBot="1">
      <c r="A249" s="1856" t="s">
        <v>1417</v>
      </c>
      <c r="B249" s="1860" t="s">
        <v>2181</v>
      </c>
      <c r="C249" s="1861">
        <v>0.15</v>
      </c>
      <c r="D249" s="1861">
        <v>0.14899999999999999</v>
      </c>
      <c r="E249" s="1861">
        <v>0.15</v>
      </c>
      <c r="F249" s="1862">
        <v>0.1</v>
      </c>
    </row>
    <row r="250" spans="1:6" ht="14.25" thickBot="1">
      <c r="A250" s="1856" t="s">
        <v>1417</v>
      </c>
      <c r="B250" s="1860" t="s">
        <v>2182</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2183</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2184</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2185</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2186</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2187</v>
      </c>
      <c r="C273" s="1861">
        <v>0.14199999999999999</v>
      </c>
      <c r="D273" s="1861">
        <v>0.14299999999999999</v>
      </c>
      <c r="E273" s="1861">
        <v>0.15</v>
      </c>
      <c r="F273" s="1862">
        <v>0.1</v>
      </c>
    </row>
    <row r="274" spans="1:6" ht="14.25" thickBot="1">
      <c r="A274" s="1856" t="s">
        <v>1417</v>
      </c>
      <c r="B274" s="1860" t="s">
        <v>2188</v>
      </c>
      <c r="C274" s="1861">
        <v>0.14799999999999999</v>
      </c>
      <c r="D274" s="1861">
        <v>0.14799999999999999</v>
      </c>
      <c r="E274" s="1861">
        <v>0.15</v>
      </c>
      <c r="F274" s="1862">
        <v>6.7000000000000004E-2</v>
      </c>
    </row>
    <row r="275" spans="1:6" ht="14.25" thickBot="1">
      <c r="A275" s="1856" t="s">
        <v>1417</v>
      </c>
      <c r="B275" s="1860" t="s">
        <v>2189</v>
      </c>
      <c r="C275" s="1861">
        <v>0.15</v>
      </c>
      <c r="D275" s="1861">
        <v>0.15</v>
      </c>
      <c r="E275" s="1861">
        <v>0.15</v>
      </c>
      <c r="F275" s="1862">
        <v>0.15</v>
      </c>
    </row>
    <row r="276" spans="1:6" ht="14.25" thickBot="1">
      <c r="A276" s="1856" t="s">
        <v>1417</v>
      </c>
      <c r="B276" s="1860" t="s">
        <v>2190</v>
      </c>
      <c r="C276" s="1861">
        <v>0.14499999999999999</v>
      </c>
      <c r="D276" s="1861">
        <v>0.14299999999999999</v>
      </c>
      <c r="E276" s="1861">
        <v>0.15</v>
      </c>
      <c r="F276" s="1862">
        <v>5.8999999999999997E-2</v>
      </c>
    </row>
    <row r="277" spans="1:6" ht="14.25" thickBot="1">
      <c r="A277" s="1856" t="s">
        <v>1417</v>
      </c>
      <c r="B277" s="1860" t="s">
        <v>2191</v>
      </c>
      <c r="C277" s="1861">
        <v>0.15</v>
      </c>
      <c r="D277" s="1861">
        <v>0.15</v>
      </c>
      <c r="E277" s="1861">
        <v>0.15</v>
      </c>
      <c r="F277" s="1862">
        <v>0.121</v>
      </c>
    </row>
    <row r="278" spans="1:6" ht="14.25" thickBot="1">
      <c r="A278" s="1856" t="s">
        <v>1417</v>
      </c>
      <c r="B278" s="1860" t="s">
        <v>2192</v>
      </c>
      <c r="C278" s="1861">
        <v>0.15</v>
      </c>
      <c r="D278" s="1861">
        <v>0.15</v>
      </c>
      <c r="E278" s="1861">
        <v>0.15</v>
      </c>
      <c r="F278" s="1862">
        <v>0.13800000000000001</v>
      </c>
    </row>
    <row r="279" spans="1:6" ht="24.75" thickBot="1">
      <c r="A279" s="1856" t="s">
        <v>1417</v>
      </c>
      <c r="B279" s="1860" t="s">
        <v>2193</v>
      </c>
      <c r="C279" s="1870"/>
      <c r="D279" s="1870"/>
      <c r="E279" s="1870"/>
      <c r="F279" s="1862">
        <v>0.05</v>
      </c>
    </row>
    <row r="280" spans="1:6" ht="24.75" thickBot="1">
      <c r="A280" s="1856" t="s">
        <v>1417</v>
      </c>
      <c r="B280" s="1860" t="s">
        <v>2194</v>
      </c>
      <c r="C280" s="1870"/>
      <c r="D280" s="1870"/>
      <c r="E280" s="1870"/>
      <c r="F280" s="1862">
        <v>0.05</v>
      </c>
    </row>
    <row r="281" spans="1:6" ht="24.75" thickBot="1">
      <c r="A281" s="1856" t="s">
        <v>1417</v>
      </c>
      <c r="B281" s="1860" t="s">
        <v>2195</v>
      </c>
      <c r="C281" s="1870"/>
      <c r="D281" s="1870"/>
      <c r="E281" s="1870"/>
      <c r="F281" s="1862">
        <v>0.05</v>
      </c>
    </row>
    <row r="282" spans="1:6" ht="24.75" thickBot="1">
      <c r="A282" s="1856" t="s">
        <v>1417</v>
      </c>
      <c r="B282" s="1860" t="s">
        <v>2196</v>
      </c>
      <c r="C282" s="1870"/>
      <c r="D282" s="1870"/>
      <c r="E282" s="1870"/>
      <c r="F282" s="1862">
        <v>0.05</v>
      </c>
    </row>
    <row r="283" spans="1:6" ht="24.75" thickBot="1">
      <c r="A283" s="1856" t="s">
        <v>1417</v>
      </c>
      <c r="B283" s="1860" t="s">
        <v>2197</v>
      </c>
      <c r="C283" s="1870"/>
      <c r="D283" s="1870"/>
      <c r="E283" s="1870"/>
      <c r="F283" s="1862">
        <v>0.05</v>
      </c>
    </row>
    <row r="284" spans="1:6" ht="24.75" thickBot="1">
      <c r="A284" s="1856" t="s">
        <v>1417</v>
      </c>
      <c r="B284" s="1860" t="s">
        <v>2198</v>
      </c>
      <c r="C284" s="1870"/>
      <c r="D284" s="1870"/>
      <c r="E284" s="1870"/>
      <c r="F284" s="1862">
        <v>0.05</v>
      </c>
    </row>
    <row r="285" spans="1:6" ht="24.75" thickBot="1">
      <c r="A285" s="1856" t="s">
        <v>1417</v>
      </c>
      <c r="B285" s="1860" t="s">
        <v>2199</v>
      </c>
      <c r="C285" s="1870"/>
      <c r="D285" s="1870"/>
      <c r="E285" s="1870"/>
      <c r="F285" s="1862">
        <v>0.05</v>
      </c>
    </row>
    <row r="286" spans="1:6" ht="24.75" thickBot="1">
      <c r="A286" s="1856" t="s">
        <v>1417</v>
      </c>
      <c r="B286" s="1860" t="s">
        <v>2200</v>
      </c>
      <c r="C286" s="1870"/>
      <c r="D286" s="1870"/>
      <c r="E286" s="1870"/>
      <c r="F286" s="1862">
        <v>0.05</v>
      </c>
    </row>
    <row r="287" spans="1:6" ht="24.75" thickBot="1">
      <c r="A287" s="1856" t="s">
        <v>1417</v>
      </c>
      <c r="B287" s="1860" t="s">
        <v>2201</v>
      </c>
      <c r="C287" s="1870"/>
      <c r="D287" s="1870"/>
      <c r="E287" s="1870"/>
      <c r="F287" s="1862">
        <v>0.05</v>
      </c>
    </row>
    <row r="288" spans="1:6" ht="24.75" thickBot="1">
      <c r="A288" s="1856" t="s">
        <v>1417</v>
      </c>
      <c r="B288" s="1860" t="s">
        <v>2202</v>
      </c>
      <c r="C288" s="1870"/>
      <c r="D288" s="1870"/>
      <c r="E288" s="1870"/>
      <c r="F288" s="1862">
        <v>0.05</v>
      </c>
    </row>
    <row r="289" spans="1:6" ht="24.75" thickBot="1">
      <c r="A289" s="1864" t="s">
        <v>1417</v>
      </c>
      <c r="B289" s="1871" t="s">
        <v>2203</v>
      </c>
      <c r="C289" s="1867"/>
      <c r="D289" s="1867"/>
      <c r="E289" s="1867"/>
      <c r="F289" s="1872">
        <v>0.05</v>
      </c>
    </row>
    <row r="290" spans="1:6" ht="14.25" thickBot="1">
      <c r="A290" s="1856" t="s">
        <v>1421</v>
      </c>
      <c r="B290" s="1857" t="s">
        <v>2204</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2205</v>
      </c>
      <c r="C292" s="1861">
        <v>0.15</v>
      </c>
      <c r="D292" s="1861">
        <v>0.15</v>
      </c>
      <c r="E292" s="1861">
        <v>0.15</v>
      </c>
      <c r="F292" s="1862">
        <v>0.14699999999999999</v>
      </c>
    </row>
    <row r="293" spans="1:6" ht="14.25" thickBot="1">
      <c r="A293" s="1856" t="s">
        <v>1421</v>
      </c>
      <c r="B293" s="1860" t="s">
        <v>2206</v>
      </c>
      <c r="C293" s="1870"/>
      <c r="D293" s="1870"/>
      <c r="E293" s="1870"/>
      <c r="F293" s="1862">
        <v>0.1</v>
      </c>
    </row>
    <row r="294" spans="1:6" ht="14.25" thickBot="1">
      <c r="A294" s="1856" t="s">
        <v>1421</v>
      </c>
      <c r="B294" s="1860" t="s">
        <v>2207</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2208</v>
      </c>
      <c r="C296" s="1861">
        <v>0.15</v>
      </c>
      <c r="D296" s="1861">
        <v>0.15</v>
      </c>
      <c r="E296" s="1861">
        <v>0.15</v>
      </c>
      <c r="F296" s="1862">
        <v>0.15</v>
      </c>
    </row>
    <row r="297" spans="1:6" ht="14.25" thickBot="1">
      <c r="A297" s="1856" t="s">
        <v>1421</v>
      </c>
      <c r="B297" s="1860" t="s">
        <v>2209</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2210</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2211</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2212</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2213</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2214</v>
      </c>
      <c r="C310" s="1861">
        <v>0.15</v>
      </c>
      <c r="D310" s="1861">
        <v>0.15</v>
      </c>
      <c r="E310" s="1861">
        <v>0.15</v>
      </c>
      <c r="F310" s="1862">
        <v>0.13700000000000001</v>
      </c>
    </row>
    <row r="311" spans="1:6" ht="14.25" thickBot="1">
      <c r="A311" s="1856" t="s">
        <v>1421</v>
      </c>
      <c r="B311" s="1860" t="s">
        <v>2215</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2216</v>
      </c>
      <c r="C313" s="1861">
        <v>0.15</v>
      </c>
      <c r="D313" s="1861">
        <v>0.15</v>
      </c>
      <c r="E313" s="1861">
        <v>0.15</v>
      </c>
      <c r="F313" s="1862">
        <v>0.15</v>
      </c>
    </row>
    <row r="314" spans="1:6" ht="24.75" thickBot="1">
      <c r="A314" s="1856" t="s">
        <v>1421</v>
      </c>
      <c r="B314" s="1860" t="s">
        <v>2217</v>
      </c>
      <c r="C314" s="1870"/>
      <c r="D314" s="1870"/>
      <c r="E314" s="1870"/>
      <c r="F314" s="1862">
        <v>0.05</v>
      </c>
    </row>
    <row r="315" spans="1:6" ht="24.75" thickBot="1">
      <c r="A315" s="1856" t="s">
        <v>1421</v>
      </c>
      <c r="B315" s="1860" t="s">
        <v>2218</v>
      </c>
      <c r="C315" s="1870"/>
      <c r="D315" s="1870"/>
      <c r="E315" s="1870"/>
      <c r="F315" s="1862">
        <v>0.05</v>
      </c>
    </row>
    <row r="316" spans="1:6" ht="24.75" thickBot="1">
      <c r="A316" s="1864" t="s">
        <v>1421</v>
      </c>
      <c r="B316" s="1871" t="s">
        <v>2219</v>
      </c>
      <c r="C316" s="1867"/>
      <c r="D316" s="1867"/>
      <c r="E316" s="1867"/>
      <c r="F316" s="1872">
        <v>0.05</v>
      </c>
    </row>
    <row r="317" spans="1:6" ht="14.25" thickBot="1">
      <c r="A317" s="1856" t="s">
        <v>2220</v>
      </c>
      <c r="B317" s="1857" t="s">
        <v>2221</v>
      </c>
      <c r="C317" s="1858">
        <v>0.15</v>
      </c>
      <c r="D317" s="1858">
        <v>0.15</v>
      </c>
      <c r="E317" s="1858">
        <v>0.15</v>
      </c>
      <c r="F317" s="1859">
        <v>0.15</v>
      </c>
    </row>
    <row r="318" spans="1:6" ht="14.25" thickBot="1">
      <c r="A318" s="1856" t="s">
        <v>2220</v>
      </c>
      <c r="B318" s="1860" t="s">
        <v>2222</v>
      </c>
      <c r="C318" s="1861">
        <v>0.107</v>
      </c>
      <c r="D318" s="1861">
        <v>0.11</v>
      </c>
      <c r="E318" s="1861">
        <v>0.112</v>
      </c>
      <c r="F318" s="1869"/>
    </row>
    <row r="319" spans="1:6" ht="14.25" thickBot="1">
      <c r="A319" s="1856" t="s">
        <v>2220</v>
      </c>
      <c r="B319" s="1860" t="s">
        <v>2223</v>
      </c>
      <c r="C319" s="1861">
        <v>0.15</v>
      </c>
      <c r="D319" s="1861">
        <v>0.15</v>
      </c>
      <c r="E319" s="1861">
        <v>0.15</v>
      </c>
      <c r="F319" s="1862">
        <v>0.15</v>
      </c>
    </row>
    <row r="320" spans="1:6" ht="14.25" thickBot="1">
      <c r="A320" s="1856" t="s">
        <v>2220</v>
      </c>
      <c r="B320" s="1860" t="s">
        <v>1109</v>
      </c>
      <c r="C320" s="1861">
        <v>0.15</v>
      </c>
      <c r="D320" s="1861">
        <v>0.15</v>
      </c>
      <c r="E320" s="1861">
        <v>0.15</v>
      </c>
      <c r="F320" s="1869"/>
    </row>
    <row r="321" spans="1:6" ht="14.25" thickBot="1">
      <c r="A321" s="1856" t="s">
        <v>2220</v>
      </c>
      <c r="B321" s="1860" t="s">
        <v>2224</v>
      </c>
      <c r="C321" s="1861">
        <v>0.15</v>
      </c>
      <c r="D321" s="1861">
        <v>0.15</v>
      </c>
      <c r="E321" s="1861">
        <v>0.15</v>
      </c>
      <c r="F321" s="1869"/>
    </row>
    <row r="322" spans="1:6" ht="14.25" thickBot="1">
      <c r="A322" s="1856" t="s">
        <v>2220</v>
      </c>
      <c r="B322" s="1860" t="s">
        <v>2225</v>
      </c>
      <c r="C322" s="1861">
        <v>0.15</v>
      </c>
      <c r="D322" s="1861">
        <v>0.15</v>
      </c>
      <c r="E322" s="1861">
        <v>0.15</v>
      </c>
      <c r="F322" s="1862">
        <v>0.15</v>
      </c>
    </row>
    <row r="323" spans="1:6" ht="14.25" thickBot="1">
      <c r="A323" s="1856" t="s">
        <v>2220</v>
      </c>
      <c r="B323" s="1860" t="s">
        <v>2226</v>
      </c>
      <c r="C323" s="1861">
        <v>0.15</v>
      </c>
      <c r="D323" s="1861">
        <v>0.15</v>
      </c>
      <c r="E323" s="1861">
        <v>0.15</v>
      </c>
      <c r="F323" s="1869"/>
    </row>
    <row r="324" spans="1:6" ht="14.25" thickBot="1">
      <c r="A324" s="1856" t="s">
        <v>2220</v>
      </c>
      <c r="B324" s="1860" t="s">
        <v>2227</v>
      </c>
      <c r="C324" s="1861">
        <v>0.15</v>
      </c>
      <c r="D324" s="1861">
        <v>0.15</v>
      </c>
      <c r="E324" s="1861">
        <v>0.15</v>
      </c>
      <c r="F324" s="1869"/>
    </row>
    <row r="325" spans="1:6" ht="14.25" thickBot="1">
      <c r="A325" s="1856" t="s">
        <v>2220</v>
      </c>
      <c r="B325" s="1860" t="s">
        <v>2228</v>
      </c>
      <c r="C325" s="1861">
        <v>0.15</v>
      </c>
      <c r="D325" s="1861">
        <v>0.15</v>
      </c>
      <c r="E325" s="1861">
        <v>0.15</v>
      </c>
      <c r="F325" s="1862">
        <v>0.14699999999999999</v>
      </c>
    </row>
    <row r="326" spans="1:6" ht="14.25" thickBot="1">
      <c r="A326" s="1856" t="s">
        <v>2220</v>
      </c>
      <c r="B326" s="1860" t="s">
        <v>1178</v>
      </c>
      <c r="C326" s="1861">
        <v>0.15</v>
      </c>
      <c r="D326" s="1861">
        <v>0.15</v>
      </c>
      <c r="E326" s="1861">
        <v>0.15</v>
      </c>
      <c r="F326" s="1869"/>
    </row>
    <row r="327" spans="1:6" ht="14.25" thickBot="1">
      <c r="A327" s="1856" t="s">
        <v>2220</v>
      </c>
      <c r="B327" s="1860" t="s">
        <v>2229</v>
      </c>
      <c r="C327" s="1861">
        <v>0.15</v>
      </c>
      <c r="D327" s="1861">
        <v>0.15</v>
      </c>
      <c r="E327" s="1861">
        <v>0.15</v>
      </c>
      <c r="F327" s="1862">
        <v>0.15</v>
      </c>
    </row>
    <row r="328" spans="1:6" ht="14.25" thickBot="1">
      <c r="A328" s="1856" t="s">
        <v>2220</v>
      </c>
      <c r="B328" s="1860" t="s">
        <v>1198</v>
      </c>
      <c r="C328" s="1861">
        <v>0.15</v>
      </c>
      <c r="D328" s="1861">
        <v>0.15</v>
      </c>
      <c r="E328" s="1861">
        <v>0.15</v>
      </c>
      <c r="F328" s="1862">
        <v>0.14099999999999999</v>
      </c>
    </row>
    <row r="329" spans="1:6" ht="14.25" thickBot="1">
      <c r="A329" s="1856" t="s">
        <v>2220</v>
      </c>
      <c r="B329" s="1860" t="s">
        <v>1208</v>
      </c>
      <c r="C329" s="1861">
        <v>0.15</v>
      </c>
      <c r="D329" s="1861">
        <v>0.15</v>
      </c>
      <c r="E329" s="1861">
        <v>0.15</v>
      </c>
      <c r="F329" s="1862">
        <v>0.15</v>
      </c>
    </row>
    <row r="330" spans="1:6" ht="14.25" thickBot="1">
      <c r="A330" s="1856" t="s">
        <v>2220</v>
      </c>
      <c r="B330" s="1860" t="s">
        <v>1218</v>
      </c>
      <c r="C330" s="1861">
        <v>0.15</v>
      </c>
      <c r="D330" s="1861">
        <v>0.15</v>
      </c>
      <c r="E330" s="1861">
        <v>0.15</v>
      </c>
      <c r="F330" s="1869"/>
    </row>
    <row r="331" spans="1:6" ht="14.25" thickBot="1">
      <c r="A331" s="1856" t="s">
        <v>2220</v>
      </c>
      <c r="B331" s="1860" t="s">
        <v>2230</v>
      </c>
      <c r="C331" s="1861">
        <v>0.15</v>
      </c>
      <c r="D331" s="1861">
        <v>0.15</v>
      </c>
      <c r="E331" s="1861">
        <v>0.15</v>
      </c>
      <c r="F331" s="1862">
        <v>0.15</v>
      </c>
    </row>
    <row r="332" spans="1:6" ht="14.25" thickBot="1">
      <c r="A332" s="1856" t="s">
        <v>2220</v>
      </c>
      <c r="B332" s="1860" t="s">
        <v>1238</v>
      </c>
      <c r="C332" s="1861">
        <v>0.15</v>
      </c>
      <c r="D332" s="1861">
        <v>0.15</v>
      </c>
      <c r="E332" s="1861">
        <v>0.15</v>
      </c>
      <c r="F332" s="1862">
        <v>0.15</v>
      </c>
    </row>
    <row r="333" spans="1:6" ht="14.25" thickBot="1">
      <c r="A333" s="1856" t="s">
        <v>2220</v>
      </c>
      <c r="B333" s="1860" t="s">
        <v>2231</v>
      </c>
      <c r="C333" s="1861">
        <v>0.15</v>
      </c>
      <c r="D333" s="1861">
        <v>0.15</v>
      </c>
      <c r="E333" s="1861">
        <v>0.15</v>
      </c>
      <c r="F333" s="1862">
        <v>0.14099999999999999</v>
      </c>
    </row>
    <row r="334" spans="1:6" ht="14.25" thickBot="1">
      <c r="A334" s="1856" t="s">
        <v>2220</v>
      </c>
      <c r="B334" s="1860" t="s">
        <v>1258</v>
      </c>
      <c r="C334" s="1861">
        <v>0.15</v>
      </c>
      <c r="D334" s="1861">
        <v>0.15</v>
      </c>
      <c r="E334" s="1861">
        <v>0.15</v>
      </c>
      <c r="F334" s="1862">
        <v>0.15</v>
      </c>
    </row>
    <row r="335" spans="1:6" ht="14.25" thickBot="1">
      <c r="A335" s="1856" t="s">
        <v>2220</v>
      </c>
      <c r="B335" s="1860" t="s">
        <v>1268</v>
      </c>
      <c r="C335" s="1861">
        <v>0.15</v>
      </c>
      <c r="D335" s="1861">
        <v>0.15</v>
      </c>
      <c r="E335" s="1861">
        <v>0.15</v>
      </c>
      <c r="F335" s="1869"/>
    </row>
    <row r="336" spans="1:6" ht="14.25" thickBot="1">
      <c r="A336" s="1856" t="s">
        <v>2220</v>
      </c>
      <c r="B336" s="1860" t="s">
        <v>2232</v>
      </c>
      <c r="C336" s="1861">
        <v>0.15</v>
      </c>
      <c r="D336" s="1861">
        <v>0.15</v>
      </c>
      <c r="E336" s="1861">
        <v>0.15</v>
      </c>
      <c r="F336" s="1862">
        <v>0.11799999999999999</v>
      </c>
    </row>
    <row r="337" spans="1:6" ht="14.25" thickBot="1">
      <c r="A337" s="1864" t="s">
        <v>2220</v>
      </c>
      <c r="B337" s="1871" t="s">
        <v>1286</v>
      </c>
      <c r="C337" s="1867"/>
      <c r="D337" s="1867"/>
      <c r="E337" s="1867"/>
      <c r="F337" s="1872">
        <v>0.14299999999999999</v>
      </c>
    </row>
    <row r="338" spans="1:6" ht="14.25" thickBot="1">
      <c r="A338" s="1856" t="s">
        <v>2233</v>
      </c>
      <c r="B338" s="1857" t="s">
        <v>2234</v>
      </c>
      <c r="C338" s="1858">
        <v>0.15</v>
      </c>
      <c r="D338" s="1858">
        <v>0.15</v>
      </c>
      <c r="E338" s="1858">
        <v>0.15</v>
      </c>
      <c r="F338" s="1880"/>
    </row>
    <row r="339" spans="1:6" ht="14.25" thickBot="1">
      <c r="A339" s="1856" t="s">
        <v>2233</v>
      </c>
      <c r="B339" s="1860" t="s">
        <v>2235</v>
      </c>
      <c r="C339" s="1861">
        <v>0.15</v>
      </c>
      <c r="D339" s="1861">
        <v>0.15</v>
      </c>
      <c r="E339" s="1861">
        <v>0.15</v>
      </c>
      <c r="F339" s="1869"/>
    </row>
    <row r="340" spans="1:6" ht="14.25" thickBot="1">
      <c r="A340" s="1856" t="s">
        <v>2233</v>
      </c>
      <c r="B340" s="1860" t="s">
        <v>2236</v>
      </c>
      <c r="C340" s="1861">
        <v>0.15</v>
      </c>
      <c r="D340" s="1861">
        <v>0.15</v>
      </c>
      <c r="E340" s="1861">
        <v>0.15</v>
      </c>
      <c r="F340" s="1869"/>
    </row>
    <row r="341" spans="1:6" ht="14.25" thickBot="1">
      <c r="A341" s="1856" t="s">
        <v>2237</v>
      </c>
      <c r="B341" s="1860" t="s">
        <v>2238</v>
      </c>
      <c r="C341" s="1861">
        <v>0.15</v>
      </c>
      <c r="D341" s="1861">
        <v>0.15</v>
      </c>
      <c r="E341" s="1861">
        <v>0.15</v>
      </c>
      <c r="F341" s="1862">
        <v>0.15</v>
      </c>
    </row>
    <row r="342" spans="1:6" ht="14.25" thickBot="1">
      <c r="A342" s="1856" t="s">
        <v>2233</v>
      </c>
      <c r="B342" s="1860" t="s">
        <v>2239</v>
      </c>
      <c r="C342" s="1861">
        <v>0.15</v>
      </c>
      <c r="D342" s="1861">
        <v>0.15</v>
      </c>
      <c r="E342" s="1861">
        <v>0.15</v>
      </c>
      <c r="F342" s="1862">
        <v>0.15</v>
      </c>
    </row>
    <row r="343" spans="1:6" ht="14.25" thickBot="1">
      <c r="A343" s="1856" t="s">
        <v>2233</v>
      </c>
      <c r="B343" s="1860" t="s">
        <v>2240</v>
      </c>
      <c r="C343" s="1861">
        <v>0.15</v>
      </c>
      <c r="D343" s="1861">
        <v>0.15</v>
      </c>
      <c r="E343" s="1861">
        <v>0.15</v>
      </c>
      <c r="F343" s="1862">
        <v>0.15</v>
      </c>
    </row>
    <row r="344" spans="1:6" ht="14.2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2961</v>
      </c>
      <c r="B1" s="3136"/>
      <c r="C1" s="3136"/>
      <c r="D1" s="3136"/>
      <c r="E1" s="3136"/>
      <c r="F1" s="3136"/>
    </row>
    <row r="2" spans="1:6" ht="14.25">
      <c r="A2" s="3137" t="s">
        <v>2955</v>
      </c>
      <c r="B2" s="3138" t="e">
        <f ca="1">SUMIF(B7:B14,"&lt;&gt;#ref!",B7:B14)</f>
        <v>#DIV/0!</v>
      </c>
      <c r="C2" s="3137" t="s">
        <v>2956</v>
      </c>
      <c r="D2" s="3136"/>
      <c r="E2" s="3136"/>
      <c r="F2" s="3136"/>
    </row>
    <row r="3" spans="1:6" ht="14.25">
      <c r="A3" s="3137" t="s">
        <v>2958</v>
      </c>
      <c r="B3" s="3138" t="e">
        <f ca="1">ROUND(B2*10000/E3,0)</f>
        <v>#DIV/0!</v>
      </c>
      <c r="C3" s="3137" t="s">
        <v>2082</v>
      </c>
      <c r="D3" s="3137" t="s">
        <v>2957</v>
      </c>
      <c r="E3" s="3138" t="e">
        <f ca="1">SUM(E7:E14)</f>
        <v>#REF!</v>
      </c>
      <c r="F3" s="3136"/>
    </row>
    <row r="4" spans="1:6" ht="14.25">
      <c r="A4" s="3137" t="s">
        <v>2965</v>
      </c>
      <c r="B4" s="3138" t="e">
        <f ca="1">ROUND(B2*10000/E4,0)</f>
        <v>#DIV/0!</v>
      </c>
      <c r="C4" s="3137" t="s">
        <v>2082</v>
      </c>
      <c r="D4" s="3137" t="s">
        <v>2966</v>
      </c>
      <c r="E4" s="3138" t="e">
        <f ca="1">SUM(F7:F14)</f>
        <v>#REF!</v>
      </c>
      <c r="F4" s="3136"/>
    </row>
    <row r="5" spans="1:6" ht="14.25">
      <c r="A5" s="3139"/>
      <c r="B5" s="1882"/>
      <c r="C5" s="1882"/>
      <c r="D5" s="1882"/>
      <c r="E5" s="1882"/>
      <c r="F5" s="3136"/>
    </row>
    <row r="6" spans="1:6" ht="28.5">
      <c r="A6" s="3140" t="s">
        <v>2962</v>
      </c>
      <c r="B6" s="3137" t="s">
        <v>2959</v>
      </c>
      <c r="C6" s="3138"/>
      <c r="D6" s="1882"/>
      <c r="E6" s="3137" t="s">
        <v>2960</v>
      </c>
      <c r="F6" s="3137" t="s">
        <v>2964</v>
      </c>
    </row>
    <row r="7" spans="1:6" ht="14.25">
      <c r="A7" s="260" t="s">
        <v>2963</v>
      </c>
      <c r="B7" s="3141" t="e">
        <f ca="1">SUMIF(INDIRECT("'"&amp;A7&amp;"'"&amp;"!A:A"),"总价",INDIRECT("'"&amp;A7&amp;"'"&amp;"!B:B"))</f>
        <v>#DIV/0!</v>
      </c>
      <c r="C7" s="3137" t="s">
        <v>2956</v>
      </c>
      <c r="D7" s="1882"/>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2956</v>
      </c>
      <c r="D8" s="1882"/>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2956</v>
      </c>
      <c r="D9" s="1882"/>
      <c r="E9" s="3142" t="e">
        <f t="shared" ca="1" si="1"/>
        <v>#REF!</v>
      </c>
      <c r="F9" s="3142" t="e">
        <f t="shared" ca="1" si="2"/>
        <v>#REF!</v>
      </c>
    </row>
    <row r="10" spans="1:6" ht="14.25">
      <c r="A10" s="260"/>
      <c r="B10" s="3141" t="e">
        <f t="shared" ca="1" si="0"/>
        <v>#REF!</v>
      </c>
      <c r="C10" s="3137" t="s">
        <v>2956</v>
      </c>
      <c r="D10" s="1882"/>
      <c r="E10" s="3142" t="e">
        <f t="shared" ca="1" si="1"/>
        <v>#REF!</v>
      </c>
      <c r="F10" s="3142" t="e">
        <f t="shared" ca="1" si="2"/>
        <v>#REF!</v>
      </c>
    </row>
    <row r="11" spans="1:6" ht="14.25">
      <c r="A11" s="260"/>
      <c r="B11" s="3141" t="e">
        <f t="shared" ca="1" si="0"/>
        <v>#REF!</v>
      </c>
      <c r="C11" s="3137" t="s">
        <v>2956</v>
      </c>
      <c r="D11" s="1882"/>
      <c r="E11" s="3142" t="e">
        <f t="shared" ca="1" si="1"/>
        <v>#REF!</v>
      </c>
      <c r="F11" s="3142" t="e">
        <f t="shared" ca="1" si="2"/>
        <v>#REF!</v>
      </c>
    </row>
    <row r="12" spans="1:6" ht="14.25">
      <c r="A12" s="260"/>
      <c r="B12" s="3141" t="e">
        <f t="shared" ca="1" si="0"/>
        <v>#REF!</v>
      </c>
      <c r="C12" s="3137" t="s">
        <v>2956</v>
      </c>
      <c r="D12" s="1882"/>
      <c r="E12" s="3142" t="e">
        <f t="shared" ca="1" si="1"/>
        <v>#REF!</v>
      </c>
      <c r="F12" s="3142" t="e">
        <f t="shared" ca="1" si="2"/>
        <v>#REF!</v>
      </c>
    </row>
    <row r="13" spans="1:6" ht="14.25">
      <c r="A13" s="260"/>
      <c r="B13" s="3141" t="e">
        <f t="shared" ca="1" si="0"/>
        <v>#REF!</v>
      </c>
      <c r="C13" s="3137" t="s">
        <v>2956</v>
      </c>
      <c r="D13" s="1882"/>
      <c r="E13" s="3142" t="e">
        <f t="shared" ca="1" si="1"/>
        <v>#REF!</v>
      </c>
      <c r="F13" s="3142" t="e">
        <f t="shared" ca="1" si="2"/>
        <v>#REF!</v>
      </c>
    </row>
    <row r="14" spans="1:6" ht="14.25">
      <c r="A14" s="3135"/>
      <c r="B14" s="3141" t="e">
        <f t="shared" ca="1" si="0"/>
        <v>#REF!</v>
      </c>
      <c r="C14" s="3137" t="s">
        <v>2956</v>
      </c>
      <c r="D14" s="1882"/>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43" sqref="F43"/>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t="s">
        <v>1679</v>
      </c>
      <c r="D1" s="2051"/>
      <c r="E1" s="2412" t="s">
        <v>2379</v>
      </c>
      <c r="F1" s="2413">
        <f ca="1">J54</f>
        <v>0</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4" t="s">
        <v>630</v>
      </c>
      <c r="B2" s="775">
        <f ca="1">IF(ISERROR(C45+J31),0,C45+J31)</f>
        <v>-56443</v>
      </c>
      <c r="C2" s="1351"/>
      <c r="D2" s="2056"/>
      <c r="E2" s="2057"/>
      <c r="F2" s="2057"/>
      <c r="G2" s="1590"/>
      <c r="H2" s="1363"/>
      <c r="I2" s="2058"/>
      <c r="J2" s="2058"/>
      <c r="K2" s="2059"/>
      <c r="L2" s="2058"/>
      <c r="M2" s="2058"/>
    </row>
    <row r="3" spans="1:25" ht="18" customHeight="1">
      <c r="A3" s="1645" t="s">
        <v>1688</v>
      </c>
      <c r="B3" s="1391">
        <f ca="1">ROUND(B2*10000/'数据-汇总表'!E3,0)</f>
        <v>-1116</v>
      </c>
      <c r="C3" s="1351"/>
      <c r="D3" s="2056"/>
      <c r="E3" s="2057"/>
      <c r="F3" s="2057"/>
      <c r="G3" s="1590"/>
      <c r="H3" s="776" t="s">
        <v>696</v>
      </c>
      <c r="I3" s="2058"/>
      <c r="J3" s="2058"/>
      <c r="K3" s="2059"/>
      <c r="L3" s="2058"/>
      <c r="M3" s="2058"/>
    </row>
    <row r="4" spans="1:25" ht="18" customHeight="1">
      <c r="A4" s="1646" t="s">
        <v>697</v>
      </c>
      <c r="B4" s="1352">
        <f ca="1">ROUND(B2*10000/'数据-汇总表'!D3,0)</f>
        <v>-8139</v>
      </c>
      <c r="C4" s="428"/>
      <c r="D4" s="2056"/>
      <c r="E4" s="2057"/>
      <c r="F4" s="2057"/>
      <c r="G4" s="1590"/>
      <c r="H4" s="776"/>
      <c r="I4" s="2058"/>
      <c r="J4" s="2058"/>
      <c r="K4" s="2059"/>
      <c r="L4" s="2058"/>
      <c r="M4" s="2058"/>
    </row>
    <row r="5" spans="1:25" ht="18" customHeight="1" thickBot="1">
      <c r="A5" s="1647"/>
      <c r="B5" s="430">
        <f ca="1">ROUND(B2/('数据-汇总表'!D3/666.67),0)</f>
        <v>-543</v>
      </c>
      <c r="C5" s="431" t="s">
        <v>698</v>
      </c>
      <c r="D5" s="2056"/>
      <c r="E5" s="2057"/>
      <c r="F5" s="2057"/>
      <c r="G5" s="1590"/>
      <c r="H5" s="776"/>
      <c r="I5" s="2058"/>
      <c r="J5" s="2058"/>
      <c r="K5" s="2059"/>
      <c r="L5" s="2058"/>
      <c r="M5" s="2058"/>
    </row>
    <row r="6" spans="1:25" ht="18" customHeight="1">
      <c r="A6" s="1829" t="s">
        <v>699</v>
      </c>
      <c r="B6" s="1821" t="s">
        <v>700</v>
      </c>
      <c r="C6" s="1821" t="s">
        <v>633</v>
      </c>
      <c r="D6" s="1821" t="s">
        <v>634</v>
      </c>
      <c r="E6" s="779" t="s">
        <v>635</v>
      </c>
      <c r="F6" s="780"/>
      <c r="G6" s="1592"/>
      <c r="H6" s="1829" t="s">
        <v>631</v>
      </c>
      <c r="I6" s="1821" t="s">
        <v>632</v>
      </c>
      <c r="J6" s="1821" t="s">
        <v>633</v>
      </c>
      <c r="K6" s="1821" t="s">
        <v>634</v>
      </c>
      <c r="L6" s="779" t="s">
        <v>635</v>
      </c>
      <c r="M6" s="780"/>
    </row>
    <row r="7" spans="1:25" ht="18" customHeight="1">
      <c r="A7" s="781">
        <v>1</v>
      </c>
      <c r="B7" s="782" t="s">
        <v>2464</v>
      </c>
      <c r="C7" s="53">
        <f ca="1">C8+C12+C14</f>
        <v>17985</v>
      </c>
      <c r="D7" s="2521" t="s">
        <v>2467</v>
      </c>
      <c r="E7" s="2515"/>
      <c r="F7" s="2516"/>
      <c r="G7" s="1592"/>
      <c r="H7" s="781">
        <v>1</v>
      </c>
      <c r="I7" s="782" t="s">
        <v>2464</v>
      </c>
      <c r="J7" s="53">
        <f ca="1">J8+J12+J14</f>
        <v>0</v>
      </c>
      <c r="K7" s="2521" t="s">
        <v>2467</v>
      </c>
      <c r="L7" s="2515"/>
      <c r="M7" s="2516"/>
    </row>
    <row r="8" spans="1:25" ht="18" customHeight="1">
      <c r="A8" s="1831" t="s">
        <v>1826</v>
      </c>
      <c r="B8" s="3727" t="s">
        <v>2469</v>
      </c>
      <c r="C8" s="1826">
        <f ca="1">ROUND(F8*F10*F9*(1-F11)/10000,0)</f>
        <v>17959</v>
      </c>
      <c r="D8" s="1823" t="s">
        <v>2541</v>
      </c>
      <c r="E8" s="61" t="s">
        <v>638</v>
      </c>
      <c r="F8" s="785">
        <f ca="1">INDIRECT("'数据-取费表'!u"&amp;$G$1)</f>
        <v>2</v>
      </c>
      <c r="G8" s="1592"/>
      <c r="H8" s="2529" t="s">
        <v>1826</v>
      </c>
      <c r="I8" s="3727" t="s">
        <v>2469</v>
      </c>
      <c r="J8" s="783">
        <f ca="1">ROUND(M8*M10*M9*(1-M11)/10000,0)</f>
        <v>0</v>
      </c>
      <c r="K8" s="341" t="s">
        <v>2541</v>
      </c>
      <c r="L8" s="784" t="s">
        <v>1740</v>
      </c>
      <c r="M8" s="785">
        <f ca="1">INDIRECT("'数据-取费表'!z"&amp;$G$1)</f>
        <v>0</v>
      </c>
    </row>
    <row r="9" spans="1:25" ht="18" customHeight="1">
      <c r="A9" s="2525"/>
      <c r="B9" s="3728"/>
      <c r="C9" s="1827"/>
      <c r="D9" s="1824"/>
      <c r="E9" s="61" t="s">
        <v>639</v>
      </c>
      <c r="F9" s="785">
        <f ca="1">IF(INDIRECT("'数据-取费表'!ah"&amp;$G$1)="",INDIRECT("'数据-取费表'!k"&amp;$G$1),INDIRECT("'数据-取费表'!ah"&amp;$G$1))</f>
        <v>279564.38</v>
      </c>
      <c r="G9" s="1592"/>
      <c r="H9" s="2514"/>
      <c r="I9" s="3728"/>
      <c r="J9" s="788"/>
      <c r="K9" s="789"/>
      <c r="L9" s="784" t="s">
        <v>1741</v>
      </c>
      <c r="M9" s="785">
        <f ca="1">F9</f>
        <v>279564.38</v>
      </c>
    </row>
    <row r="10" spans="1:25" ht="18" customHeight="1">
      <c r="A10" s="2518"/>
      <c r="B10" s="3729"/>
      <c r="C10" s="1827"/>
      <c r="D10" s="1824"/>
      <c r="E10" s="61" t="s">
        <v>640</v>
      </c>
      <c r="F10" s="785">
        <f ca="1">INDIRECT("'数据-取费表'!ai"&amp;$G$1)</f>
        <v>365</v>
      </c>
      <c r="G10" s="1592"/>
      <c r="H10" s="2514"/>
      <c r="I10" s="3729"/>
      <c r="J10" s="788"/>
      <c r="K10" s="789"/>
      <c r="L10" s="784" t="s">
        <v>1742</v>
      </c>
      <c r="M10" s="785">
        <f ca="1">INDIRECT("'数据-取费表'!ai"&amp;$G$1)</f>
        <v>365</v>
      </c>
    </row>
    <row r="11" spans="1:25" ht="18" customHeight="1">
      <c r="A11" s="786"/>
      <c r="B11" s="3730"/>
      <c r="C11" s="1827"/>
      <c r="D11" s="1824"/>
      <c r="E11" s="61" t="s">
        <v>641</v>
      </c>
      <c r="F11" s="794">
        <f ca="1">INDIRECT("'数据-取费表'!w"&amp;$G$1)</f>
        <v>0.12</v>
      </c>
      <c r="G11" s="1592"/>
      <c r="H11" s="2530"/>
      <c r="I11" s="3729"/>
      <c r="J11" s="788"/>
      <c r="K11" s="789"/>
      <c r="L11" s="795" t="s">
        <v>1743</v>
      </c>
      <c r="M11" s="796">
        <f ca="1">INDIRECT("'数据-取费表'!ab"&amp;$G$1)</f>
        <v>0</v>
      </c>
    </row>
    <row r="12" spans="1:25" ht="18" customHeight="1">
      <c r="A12" s="1831" t="s">
        <v>1827</v>
      </c>
      <c r="B12" s="2519" t="s">
        <v>2465</v>
      </c>
      <c r="C12" s="799">
        <f ca="1">ROUND(IF(F12="押一",F8*F10*F9/12*F13,IF(F12="押二",F8*F10*F9/12*2*F13,IF(F12="押三",F8*F10*F9/12*3*F13,C13*F13)))/10000,0)</f>
        <v>26</v>
      </c>
      <c r="D12" s="2526" t="s">
        <v>2472</v>
      </c>
      <c r="E12" s="2523" t="s">
        <v>2470</v>
      </c>
      <c r="F12" s="2646" t="s">
        <v>3316</v>
      </c>
      <c r="G12" s="1592"/>
      <c r="H12" s="2586" t="s">
        <v>1827</v>
      </c>
      <c r="I12" s="2591" t="s">
        <v>2465</v>
      </c>
      <c r="J12" s="783">
        <f ca="1">ROUND(IF(M12="押一",M8*M10*M9/12*M13,IF(M12="押二",M8*M10*M9/12*2*M13,IF(M12="押三",M8*M10*M9/12*3*M13,J13*M13)))/10000,0)</f>
        <v>0</v>
      </c>
      <c r="K12" s="2526" t="s">
        <v>2472</v>
      </c>
      <c r="L12" s="2523" t="s">
        <v>2470</v>
      </c>
      <c r="M12" s="2646"/>
    </row>
    <row r="13" spans="1:25" ht="18" customHeight="1">
      <c r="A13" s="790"/>
      <c r="B13" s="2520" t="s">
        <v>2580</v>
      </c>
      <c r="C13" s="2524"/>
      <c r="D13" s="789"/>
      <c r="E13" s="2523" t="s">
        <v>2462</v>
      </c>
      <c r="F13" s="796">
        <f ca="1">'数据-取费表'!B39</f>
        <v>1.4999999999999999E-2</v>
      </c>
      <c r="G13" s="1592"/>
      <c r="H13" s="2587"/>
      <c r="I13" s="2520" t="s">
        <v>2580</v>
      </c>
      <c r="J13" s="2524"/>
      <c r="K13" s="2588"/>
      <c r="L13" s="2523" t="s">
        <v>2462</v>
      </c>
      <c r="M13" s="2517">
        <f ca="1">'数据-取费表'!B39</f>
        <v>1.4999999999999999E-2</v>
      </c>
    </row>
    <row r="14" spans="1:25" ht="18" customHeight="1" thickBot="1">
      <c r="A14" s="2562" t="s">
        <v>2474</v>
      </c>
      <c r="B14" s="2563" t="s">
        <v>2466</v>
      </c>
      <c r="C14" s="2564"/>
      <c r="D14" s="2565"/>
      <c r="E14" s="2566"/>
      <c r="F14" s="2567"/>
      <c r="G14" s="1592"/>
      <c r="H14" s="2576" t="s">
        <v>2474</v>
      </c>
      <c r="I14" s="2589" t="s">
        <v>2466</v>
      </c>
      <c r="J14" s="2590"/>
      <c r="K14" s="2565"/>
      <c r="L14" s="2566"/>
      <c r="M14" s="2579"/>
    </row>
    <row r="15" spans="1:25" ht="18" customHeight="1" thickTop="1">
      <c r="A15" s="1830" t="s">
        <v>1876</v>
      </c>
      <c r="B15" s="1828" t="s">
        <v>642</v>
      </c>
      <c r="C15" s="792">
        <f ca="1">ROUND(C31*F15,0)</f>
        <v>183269</v>
      </c>
      <c r="D15" s="1835" t="s">
        <v>643</v>
      </c>
      <c r="E15" s="795" t="s">
        <v>644</v>
      </c>
      <c r="F15" s="800">
        <f ca="1">INDIRECT("'数据-取费表'!y"&amp;$G$1)</f>
        <v>1</v>
      </c>
      <c r="G15" s="1592"/>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115827</v>
      </c>
      <c r="D16" s="1980" t="s">
        <v>647</v>
      </c>
      <c r="E16" s="1981"/>
      <c r="F16" s="805"/>
      <c r="G16" s="1592"/>
      <c r="H16" s="803" t="s">
        <v>2073</v>
      </c>
      <c r="I16" s="2232" t="s">
        <v>2832</v>
      </c>
      <c r="J16" s="53">
        <f ca="1">C31</f>
        <v>183269</v>
      </c>
      <c r="K16" s="26"/>
      <c r="L16" s="801"/>
      <c r="M16" s="802"/>
    </row>
    <row r="17" spans="1:25" s="2065" customFormat="1" ht="18" customHeight="1">
      <c r="A17" s="803" t="s">
        <v>1851</v>
      </c>
      <c r="B17" s="784" t="s">
        <v>648</v>
      </c>
      <c r="C17" s="53">
        <f ca="1">ROUND(C16*F17,0)</f>
        <v>3475</v>
      </c>
      <c r="D17" s="806" t="s">
        <v>649</v>
      </c>
      <c r="E17" s="806" t="s">
        <v>650</v>
      </c>
      <c r="F17" s="807">
        <f>'数据-取费表'!B33</f>
        <v>0.03</v>
      </c>
      <c r="G17" s="1593"/>
      <c r="H17" s="803" t="s">
        <v>2074</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2"/>
      <c r="H18" s="797" t="s">
        <v>1829</v>
      </c>
      <c r="I18" s="798" t="s">
        <v>652</v>
      </c>
      <c r="J18" s="799">
        <f ca="1">ROUND(J19+J24+J25+J26,0)</f>
        <v>4339</v>
      </c>
      <c r="K18" s="26" t="s">
        <v>653</v>
      </c>
      <c r="L18" s="1983"/>
      <c r="M18" s="56"/>
    </row>
    <row r="19" spans="1:25" s="2065" customFormat="1" ht="18" customHeight="1">
      <c r="A19" s="803" t="s">
        <v>1853</v>
      </c>
      <c r="B19" s="784" t="s">
        <v>654</v>
      </c>
      <c r="C19" s="53">
        <f ca="1">ROUND(F19*(INDIRECT("'数据-取费表'!k"&amp;$G$1)+INDIRECT("'数据-取费表'!S"&amp;$G$1))/10000,0)</f>
        <v>6036</v>
      </c>
      <c r="D19" s="784" t="s">
        <v>655</v>
      </c>
      <c r="E19" s="784" t="s">
        <v>656</v>
      </c>
      <c r="F19" s="56">
        <f>'数据-取费表'!B35</f>
        <v>200</v>
      </c>
      <c r="G19" s="1593"/>
      <c r="H19" s="803" t="s">
        <v>2073</v>
      </c>
      <c r="I19" s="784" t="s">
        <v>657</v>
      </c>
      <c r="J19" s="53">
        <f ca="1">ROUND(IF(项目基本情况!B11="自然人",J7*M19,J20+J21+J22),0)</f>
        <v>1590</v>
      </c>
      <c r="K19" s="1980" t="s">
        <v>658</v>
      </c>
      <c r="L19" s="1978" t="s">
        <v>659</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1737</v>
      </c>
      <c r="D20" s="784" t="s">
        <v>649</v>
      </c>
      <c r="E20" s="784" t="s">
        <v>650</v>
      </c>
      <c r="F20" s="809">
        <f>'数据-取费表'!B36</f>
        <v>1.4999999999999999E-2</v>
      </c>
      <c r="G20" s="1593"/>
      <c r="H20" s="803" t="s">
        <v>1833</v>
      </c>
      <c r="I20" s="784" t="s">
        <v>661</v>
      </c>
      <c r="J20" s="53">
        <f ca="1">ROUND(J7*M20/1.05,1)</f>
        <v>0</v>
      </c>
      <c r="K20" s="1978" t="s">
        <v>662</v>
      </c>
      <c r="L20" s="784" t="s">
        <v>650</v>
      </c>
      <c r="M20" s="809">
        <f>'数据-取费表'!B41</f>
        <v>5.6000000000000001E-2</v>
      </c>
      <c r="N20" s="2064"/>
      <c r="O20" s="2064"/>
      <c r="P20" s="2064"/>
      <c r="Q20" s="2064"/>
      <c r="R20" s="2064"/>
      <c r="S20" s="2064"/>
      <c r="T20" s="2064"/>
      <c r="U20" s="2064"/>
      <c r="V20" s="2064"/>
      <c r="W20" s="2064"/>
      <c r="X20" s="2064"/>
      <c r="Y20" s="2064"/>
    </row>
    <row r="21" spans="1:25" ht="18" customHeight="1">
      <c r="A21" s="803" t="s">
        <v>1878</v>
      </c>
      <c r="B21" s="784" t="s">
        <v>663</v>
      </c>
      <c r="C21" s="53">
        <f ca="1">SUM(C16:C20)</f>
        <v>127075</v>
      </c>
      <c r="D21" s="261" t="s">
        <v>664</v>
      </c>
      <c r="E21" s="1983"/>
      <c r="F21" s="56"/>
      <c r="G21" s="1592"/>
      <c r="H21" s="1831" t="s">
        <v>1851</v>
      </c>
      <c r="I21" s="784" t="s">
        <v>665</v>
      </c>
      <c r="J21" s="53">
        <f ca="1">IF(K21="按租金收入计税",ROUND(J7*M21,1),ROUND(C31*F35*0.7,1))</f>
        <v>1539.5</v>
      </c>
      <c r="K21" s="811" t="s">
        <v>666</v>
      </c>
      <c r="L21" s="784" t="s">
        <v>650</v>
      </c>
      <c r="M21" s="809">
        <f>IF(K21="按租金收入计税",'数据-取费表'!B51,'数据-取费表'!B50)</f>
        <v>1.2E-2</v>
      </c>
    </row>
    <row r="22" spans="1:25" s="2065" customFormat="1" ht="18" customHeight="1">
      <c r="A22" s="803" t="s">
        <v>1879</v>
      </c>
      <c r="B22" s="784" t="s">
        <v>667</v>
      </c>
      <c r="C22" s="53">
        <f ca="1">ROUND(C21*F22,0)</f>
        <v>3812</v>
      </c>
      <c r="D22" s="812" t="s">
        <v>668</v>
      </c>
      <c r="E22" s="784" t="s">
        <v>650</v>
      </c>
      <c r="F22" s="809">
        <f>'数据-取费表'!B37</f>
        <v>0.03</v>
      </c>
      <c r="G22" s="1593"/>
      <c r="H22" s="1833" t="s">
        <v>1852</v>
      </c>
      <c r="I22" s="1823" t="s">
        <v>669</v>
      </c>
      <c r="J22" s="54">
        <f ca="1">ROUND(M22*M23/10000,0)</f>
        <v>50</v>
      </c>
      <c r="K22" s="814" t="s">
        <v>670</v>
      </c>
      <c r="L22" s="784" t="s">
        <v>671</v>
      </c>
      <c r="M22" s="640">
        <f>'数据-取费表'!B52</f>
        <v>12</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0.03</v>
      </c>
      <c r="G23" s="1593"/>
      <c r="H23" s="1834"/>
      <c r="I23" s="1825"/>
      <c r="J23" s="69"/>
      <c r="K23" s="816"/>
      <c r="L23" s="784" t="s">
        <v>675</v>
      </c>
      <c r="M23" s="785">
        <f ca="1">INDIRECT("'数据-取费表'!r"&amp;$G$1)</f>
        <v>41386.450000000004</v>
      </c>
      <c r="N23" s="2064"/>
      <c r="O23" s="2064"/>
      <c r="P23" s="2064"/>
      <c r="Q23" s="2064"/>
      <c r="R23" s="2064"/>
      <c r="S23" s="2064"/>
      <c r="T23" s="2064"/>
      <c r="U23" s="2064"/>
      <c r="V23" s="2064"/>
      <c r="W23" s="2064"/>
      <c r="X23" s="2064"/>
      <c r="Y23" s="2064"/>
    </row>
    <row r="24" spans="1:25" ht="18" customHeight="1">
      <c r="A24" s="803" t="s">
        <v>1881</v>
      </c>
      <c r="B24" s="784" t="s">
        <v>676</v>
      </c>
      <c r="C24" s="53"/>
      <c r="D24" s="2597" t="str">
        <f>IF(F25&lt;=1,"单利计息。","复利计息。")&amp;"建造成本、管理费用、销售费用产生的利息。"</f>
        <v>复利计息。建造成本、管理费用、销售费用产生的利息。</v>
      </c>
      <c r="E24" s="1983"/>
      <c r="F24" s="56"/>
      <c r="G24" s="1592"/>
      <c r="H24" s="1832" t="s">
        <v>2074</v>
      </c>
      <c r="I24" s="784" t="s">
        <v>677</v>
      </c>
      <c r="J24" s="53">
        <f ca="1">ROUND(J16*M24,0)</f>
        <v>2749</v>
      </c>
      <c r="K24" s="1978" t="s">
        <v>678</v>
      </c>
      <c r="L24" s="784" t="s">
        <v>650</v>
      </c>
      <c r="M24" s="817">
        <f ca="1">INDIRECT("'数据-取费表'!Ak"&amp;$G$1)</f>
        <v>1.4999999999999999E-2</v>
      </c>
    </row>
    <row r="25" spans="1:25" s="2065" customFormat="1" ht="18" customHeight="1">
      <c r="A25" s="803" t="s">
        <v>1877</v>
      </c>
      <c r="B25" s="784" t="s">
        <v>2442</v>
      </c>
      <c r="C25" s="53">
        <f ca="1">ROUND(IF('数据-取费表'!B22&lt;=1,(C21+C22)*F26*F25/2,(C21+C22)*(POWER((1+F26),F25/2)-1)),0)</f>
        <v>9436</v>
      </c>
      <c r="D25" s="2596" t="str">
        <f>IF(F25&lt;=1,"(建造成本+管理费用)×利率×(建设周期÷2)","(建造成本+管理费用)×((1+利率)^(建设周期÷2)-1)")</f>
        <v>(建造成本+管理费用)×((1+利率)^(建设周期÷2)-1)</v>
      </c>
      <c r="E25" s="784" t="s">
        <v>679</v>
      </c>
      <c r="F25" s="640">
        <f>'数据-取费表'!B20</f>
        <v>3</v>
      </c>
      <c r="G25" s="1593"/>
      <c r="H25" s="803" t="s">
        <v>1880</v>
      </c>
      <c r="I25" s="784" t="s">
        <v>680</v>
      </c>
      <c r="J25" s="53">
        <f ca="1">ROUND(J15*M25,0)</f>
        <v>0</v>
      </c>
      <c r="K25" s="1978" t="s">
        <v>681</v>
      </c>
      <c r="L25" s="784" t="s">
        <v>650</v>
      </c>
      <c r="M25" s="818">
        <f ca="1">INDIRECT("'数据-取费表'!Al"&amp;$G$1)</f>
        <v>1.5E-3</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2.2000000000000001E-3</v>
      </c>
      <c r="D26" s="2596" t="str">
        <f>IF(F25&lt;=1,"销售费用×利率×(建设周期÷2)","销售费用×((1+利率)^(建设周期÷2)-1)")</f>
        <v>销售费用×((1+利率)^(建设周期÷2)-1)</v>
      </c>
      <c r="E26" s="784" t="s">
        <v>683</v>
      </c>
      <c r="F26" s="819">
        <f ca="1">'数据-取费表'!B40</f>
        <v>4.7500000000000001E-2</v>
      </c>
      <c r="G26" s="1593"/>
      <c r="H26" s="803" t="s">
        <v>1881</v>
      </c>
      <c r="I26" s="784" t="s">
        <v>667</v>
      </c>
      <c r="J26" s="53">
        <f ca="1">ROUND(J7*M26,0)</f>
        <v>0</v>
      </c>
      <c r="K26" s="1978" t="s">
        <v>684</v>
      </c>
      <c r="L26" s="784" t="s">
        <v>650</v>
      </c>
      <c r="M26" s="794">
        <f ca="1">INDIRECT("'数据-取费表'!Am"&amp;$G$1)</f>
        <v>0.02</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2"/>
      <c r="H27" s="797" t="s">
        <v>1830</v>
      </c>
      <c r="I27" s="3037" t="s">
        <v>2829</v>
      </c>
      <c r="J27" s="799">
        <f ca="1">J7-J18</f>
        <v>-4339</v>
      </c>
      <c r="K27" s="1980" t="s">
        <v>701</v>
      </c>
      <c r="L27" s="1982"/>
      <c r="M27" s="820"/>
    </row>
    <row r="28" spans="1:25" ht="18" customHeight="1">
      <c r="A28" s="803" t="s">
        <v>1877</v>
      </c>
      <c r="B28" s="784" t="s">
        <v>2443</v>
      </c>
      <c r="C28" s="53">
        <f ca="1">ROUND((C21+C22)*F28,0)</f>
        <v>26177</v>
      </c>
      <c r="D28" s="812" t="s">
        <v>702</v>
      </c>
      <c r="E28" s="795" t="s">
        <v>703</v>
      </c>
      <c r="F28" s="794">
        <f ca="1">INDIRECT("'数据-取费表'!q"&amp;$G$1)</f>
        <v>0.2</v>
      </c>
      <c r="G28" s="1592"/>
      <c r="H28" s="781" t="s">
        <v>1839</v>
      </c>
      <c r="I28" s="782" t="s">
        <v>704</v>
      </c>
      <c r="J28" s="783">
        <f ca="1">IF(J7&lt;&gt;0,ROUND(J27*(1-((1+M30)/(1+M28))^M29)/(M28-M30),0),0)</f>
        <v>0</v>
      </c>
      <c r="K28" s="814" t="s">
        <v>705</v>
      </c>
      <c r="L28" s="784" t="s">
        <v>706</v>
      </c>
      <c r="M28" s="794">
        <f ca="1">INDIRECT("'数据-取费表'!I"&amp;$G$1)</f>
        <v>5.5E-2</v>
      </c>
    </row>
    <row r="29" spans="1:25" ht="18" customHeight="1">
      <c r="A29" s="803" t="s">
        <v>1851</v>
      </c>
      <c r="B29" s="784" t="s">
        <v>687</v>
      </c>
      <c r="C29" s="53">
        <f ca="1">ROUND(F23*F28,4)</f>
        <v>6.0000000000000001E-3</v>
      </c>
      <c r="D29" s="812" t="s">
        <v>707</v>
      </c>
      <c r="E29" s="806"/>
      <c r="F29" s="807"/>
      <c r="G29" s="1592"/>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5.33E-2</v>
      </c>
      <c r="D30" s="812" t="s">
        <v>710</v>
      </c>
      <c r="E30" s="784" t="s">
        <v>650</v>
      </c>
      <c r="F30" s="809">
        <f>'数据-取费表'!B41</f>
        <v>5.6000000000000001E-2</v>
      </c>
      <c r="G30" s="1593"/>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2830</v>
      </c>
      <c r="C31" s="2569">
        <f ca="1">ROUND((C21+C22+C25+C28)/(1-F23-C26-C29-C30),0)</f>
        <v>183269</v>
      </c>
      <c r="D31" s="2570"/>
      <c r="E31" s="2571"/>
      <c r="F31" s="2572"/>
      <c r="G31" s="1593"/>
      <c r="H31" s="823" t="s">
        <v>1874</v>
      </c>
      <c r="I31" s="3038" t="s">
        <v>2831</v>
      </c>
      <c r="J31" s="825">
        <f ca="1">ROUND(J28/(1+F45)^F46,0)</f>
        <v>0</v>
      </c>
      <c r="K31" s="826" t="s">
        <v>689</v>
      </c>
      <c r="L31" s="827"/>
      <c r="M31" s="828">
        <f ca="1">INDIRECT("'数据-取费表'!k"&amp;$G$1)</f>
        <v>279564.38</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5932</v>
      </c>
      <c r="D32" s="1822" t="s">
        <v>653</v>
      </c>
      <c r="E32" s="2512"/>
      <c r="F32" s="2516"/>
      <c r="G32" s="2063"/>
      <c r="H32" s="2066"/>
      <c r="I32" s="2067"/>
      <c r="J32" s="2068"/>
      <c r="K32" s="2069"/>
      <c r="L32" s="2070"/>
      <c r="M32" s="2071"/>
    </row>
    <row r="33" spans="1:18" ht="18" customHeight="1">
      <c r="A33" s="803" t="s">
        <v>1878</v>
      </c>
      <c r="B33" s="784" t="s">
        <v>657</v>
      </c>
      <c r="C33" s="53">
        <f ca="1">ROUND(IF(项目基本情况!B11="自然人",C7*F33,C34+C35+C36),1)</f>
        <v>2548.4</v>
      </c>
      <c r="D33" s="1980" t="s">
        <v>658</v>
      </c>
      <c r="E33" s="1978" t="s">
        <v>691</v>
      </c>
      <c r="F33" s="810">
        <f ca="1">IF(项目基本情况!B11="企业","",IF(INDIRECT("'数据-取费表'!c"&amp;$G$1)="住宅",5%,IF(F8*F9*F10/12/(1+'数据-取费表'!C42)&gt;20000,12%,7%)))</f>
        <v>0.12</v>
      </c>
      <c r="G33" s="2063"/>
      <c r="H33" s="2066"/>
      <c r="I33" s="2067"/>
      <c r="J33" s="2068"/>
      <c r="K33" s="2069"/>
      <c r="L33" s="2070"/>
      <c r="M33" s="2071"/>
    </row>
    <row r="34" spans="1:18" ht="18" customHeight="1">
      <c r="A34" s="803" t="s">
        <v>1877</v>
      </c>
      <c r="B34" s="784" t="s">
        <v>661</v>
      </c>
      <c r="C34" s="53">
        <f ca="1">ROUND(C7*F34/1.05,1)</f>
        <v>959.2</v>
      </c>
      <c r="D34" s="1978" t="s">
        <v>662</v>
      </c>
      <c r="E34" s="784" t="s">
        <v>650</v>
      </c>
      <c r="F34" s="809">
        <f>'数据-取费表'!B41</f>
        <v>5.6000000000000001E-2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1539.5</v>
      </c>
      <c r="D35" s="811" t="s">
        <v>1682</v>
      </c>
      <c r="E35" s="784" t="s">
        <v>650</v>
      </c>
      <c r="F35" s="809">
        <f>IF(D35="按租金收入计税",'数据-取费表'!B51,'数据-取费表'!B50)</f>
        <v>1.2E-2</v>
      </c>
      <c r="G35" s="2063"/>
      <c r="H35" s="2078"/>
      <c r="I35" s="2078"/>
      <c r="J35" s="2078"/>
      <c r="K35" s="2079"/>
      <c r="L35" s="2078"/>
      <c r="M35" s="2078"/>
    </row>
    <row r="36" spans="1:18" ht="18" customHeight="1">
      <c r="A36" s="813" t="s">
        <v>1882</v>
      </c>
      <c r="B36" s="341" t="s">
        <v>669</v>
      </c>
      <c r="C36" s="54">
        <f ca="1">ROUND(F36*F37/10000,1)</f>
        <v>49.7</v>
      </c>
      <c r="D36" s="814" t="s">
        <v>670</v>
      </c>
      <c r="E36" s="784" t="s">
        <v>671</v>
      </c>
      <c r="F36" s="640">
        <f>'数据-取费表'!B52</f>
        <v>12</v>
      </c>
      <c r="G36" s="2063"/>
      <c r="H36" s="2066"/>
      <c r="I36" s="3726"/>
      <c r="J36" s="2080"/>
      <c r="K36" s="2081"/>
      <c r="L36" s="2080"/>
      <c r="M36" s="2080"/>
    </row>
    <row r="37" spans="1:18" ht="18" customHeight="1">
      <c r="A37" s="815"/>
      <c r="B37" s="793"/>
      <c r="C37" s="69"/>
      <c r="D37" s="816"/>
      <c r="E37" s="784" t="s">
        <v>675</v>
      </c>
      <c r="F37" s="785">
        <f ca="1">INDIRECT("'数据-取费表'!r"&amp;$G$1)</f>
        <v>41386.450000000004</v>
      </c>
      <c r="G37" s="2063"/>
      <c r="H37" s="2066"/>
      <c r="I37" s="3726"/>
      <c r="J37" s="2078"/>
      <c r="K37" s="2079"/>
      <c r="L37" s="2078"/>
      <c r="M37" s="2078"/>
    </row>
    <row r="38" spans="1:18" ht="18" customHeight="1">
      <c r="A38" s="803" t="s">
        <v>1879</v>
      </c>
      <c r="B38" s="784" t="s">
        <v>677</v>
      </c>
      <c r="C38" s="53">
        <f ca="1">ROUND(C31*F38,1)</f>
        <v>2749</v>
      </c>
      <c r="D38" s="1978" t="s">
        <v>692</v>
      </c>
      <c r="E38" s="784" t="s">
        <v>650</v>
      </c>
      <c r="F38" s="817">
        <f ca="1">INDIRECT("'数据-取费表'!Ak"&amp;$G$1)</f>
        <v>1.4999999999999999E-2</v>
      </c>
      <c r="G38" s="2063"/>
      <c r="H38" s="2078"/>
      <c r="I38" s="2082"/>
      <c r="J38" s="1989"/>
      <c r="K38" s="2083"/>
      <c r="L38" s="2078"/>
      <c r="M38" s="2078"/>
    </row>
    <row r="39" spans="1:18" ht="18" customHeight="1">
      <c r="A39" s="803" t="s">
        <v>1880</v>
      </c>
      <c r="B39" s="784" t="s">
        <v>680</v>
      </c>
      <c r="C39" s="53">
        <f ca="1">ROUND(C15*F39,1)</f>
        <v>274.89999999999998</v>
      </c>
      <c r="D39" s="1978" t="s">
        <v>681</v>
      </c>
      <c r="E39" s="784" t="s">
        <v>650</v>
      </c>
      <c r="F39" s="818">
        <f ca="1">INDIRECT("'数据-取费表'!Al"&amp;$G$1)</f>
        <v>1.5E-3</v>
      </c>
      <c r="G39" s="2063"/>
      <c r="H39" s="2078"/>
      <c r="I39" s="2082"/>
      <c r="J39" s="1989"/>
      <c r="K39" s="2083"/>
      <c r="L39" s="2078"/>
      <c r="M39" s="2078"/>
    </row>
    <row r="40" spans="1:18" ht="18" customHeight="1" thickBot="1">
      <c r="A40" s="2585" t="s">
        <v>1881</v>
      </c>
      <c r="B40" s="2571" t="s">
        <v>667</v>
      </c>
      <c r="C40" s="2569">
        <f ca="1">ROUND(C7*F40,1)</f>
        <v>359.7</v>
      </c>
      <c r="D40" s="2570" t="s">
        <v>684</v>
      </c>
      <c r="E40" s="2571" t="s">
        <v>650</v>
      </c>
      <c r="F40" s="2567">
        <f ca="1">INDIRECT("'数据-取费表'!Am"&amp;$G$1)</f>
        <v>0.02</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3" t="s">
        <v>1878</v>
      </c>
      <c r="B42" s="835" t="s">
        <v>694</v>
      </c>
      <c r="C42" s="829">
        <f ca="1">C7-C32</f>
        <v>12053</v>
      </c>
      <c r="D42" s="1980" t="s">
        <v>695</v>
      </c>
      <c r="E42" s="1982"/>
      <c r="F42" s="820"/>
      <c r="G42" s="2063"/>
      <c r="H42" s="2063"/>
      <c r="I42" s="2063"/>
      <c r="J42" s="2063"/>
      <c r="K42" s="2084"/>
      <c r="L42" s="2063"/>
      <c r="M42" s="2063"/>
    </row>
    <row r="43" spans="1:18" ht="18" customHeight="1">
      <c r="A43" s="803" t="s">
        <v>1879</v>
      </c>
      <c r="B43" s="835" t="s">
        <v>712</v>
      </c>
      <c r="C43" s="836">
        <f ca="1">ROUND(C15*F43,0)</f>
        <v>15578</v>
      </c>
      <c r="D43" s="1356" t="s">
        <v>713</v>
      </c>
      <c r="E43" s="3155" t="s">
        <v>2974</v>
      </c>
      <c r="F43" s="3156">
        <f ca="1">INDIRECT("'数据-取费表'!j"&amp;$G$1)</f>
        <v>8.5000000000000006E-2</v>
      </c>
      <c r="G43" s="2063"/>
      <c r="H43" s="2063"/>
      <c r="I43" s="2063"/>
      <c r="J43" s="2063"/>
      <c r="K43" s="2084"/>
      <c r="L43" s="2063"/>
      <c r="M43" s="2063"/>
    </row>
    <row r="44" spans="1:18" ht="18" customHeight="1">
      <c r="A44" s="803" t="s">
        <v>1880</v>
      </c>
      <c r="B44" s="835" t="s">
        <v>714</v>
      </c>
      <c r="C44" s="1357">
        <f ca="1">C42-C43</f>
        <v>-3525</v>
      </c>
      <c r="D44" s="463" t="s">
        <v>715</v>
      </c>
      <c r="E44" s="464"/>
      <c r="F44" s="465"/>
      <c r="G44" s="2063"/>
      <c r="H44" s="2063"/>
      <c r="I44" s="2063"/>
      <c r="J44" s="2063"/>
      <c r="K44" s="2084"/>
      <c r="L44" s="2063"/>
      <c r="M44" s="2063"/>
    </row>
    <row r="45" spans="1:18" ht="18" customHeight="1">
      <c r="A45" s="803" t="s">
        <v>1881</v>
      </c>
      <c r="B45" s="1356" t="s">
        <v>716</v>
      </c>
      <c r="C45" s="3064">
        <f ca="1">ROUND(-PV(F45,F46,C44,0),0)</f>
        <v>-56443</v>
      </c>
      <c r="D45" s="1358" t="s">
        <v>717</v>
      </c>
      <c r="E45" s="806" t="s">
        <v>718</v>
      </c>
      <c r="F45" s="830">
        <f ca="1">INDIRECT("'数据-取费表'!h"&amp;$G$1)</f>
        <v>0.05</v>
      </c>
      <c r="G45" s="2063"/>
      <c r="H45" s="2063"/>
      <c r="I45" s="2063"/>
      <c r="J45" s="2063"/>
      <c r="K45" s="2084"/>
      <c r="L45" s="2063"/>
      <c r="M45" s="2063"/>
    </row>
    <row r="46" spans="1:18" ht="18" customHeight="1" thickBot="1">
      <c r="A46" s="831"/>
      <c r="B46" s="1359"/>
      <c r="C46" s="1360"/>
      <c r="D46" s="1361"/>
      <c r="E46" s="3157" t="s">
        <v>2977</v>
      </c>
      <c r="F46" s="828">
        <f ca="1">IF(INDIRECT("'数据-取费表'!af"&amp;$G$1)=0,INDIRECT("'数据-取费表'!ae"&amp;$G$1),INDIRECT("'数据-取费表'!af"&amp;$G$1))</f>
        <v>33.049999999999997</v>
      </c>
      <c r="G46" s="2063"/>
      <c r="H46" s="2063"/>
      <c r="I46" s="2063"/>
      <c r="J46" s="2063"/>
      <c r="K46" s="2084"/>
      <c r="L46" s="2063"/>
      <c r="M46" s="2063"/>
    </row>
    <row r="47" spans="1:18" s="2060" customFormat="1" ht="18" customHeight="1" thickBot="1">
      <c r="A47" s="2085"/>
      <c r="D47" s="2086"/>
      <c r="E47" s="2086"/>
      <c r="F47" s="2086"/>
      <c r="I47" s="2379" t="s">
        <v>2347</v>
      </c>
      <c r="J47" s="2380"/>
      <c r="K47" s="2381"/>
      <c r="L47" s="2382" t="e">
        <f ca="1">IF(M48="住宅",0,IF(L49&gt;J52,L61,J61))</f>
        <v>#DIV/0!</v>
      </c>
      <c r="O47" s="2419" t="s">
        <v>2415</v>
      </c>
      <c r="P47" s="1592"/>
      <c r="Q47" s="1604"/>
      <c r="R47" s="1592"/>
    </row>
    <row r="48" spans="1:18" s="2060" customFormat="1" ht="18" customHeight="1" thickBot="1">
      <c r="A48" s="2085"/>
      <c r="C48" s="2088"/>
      <c r="D48" s="2089"/>
      <c r="E48" s="2089"/>
      <c r="F48" s="2090"/>
      <c r="G48" s="2091"/>
      <c r="I48" s="2383" t="s">
        <v>2348</v>
      </c>
      <c r="J48" s="2388"/>
      <c r="K48" s="2389" t="s">
        <v>2354</v>
      </c>
      <c r="L48" s="2390">
        <f ca="1">INDIRECT("'数据-取费表'!d"&amp;$G$1)</f>
        <v>40</v>
      </c>
      <c r="M48" s="3152" t="str">
        <f>IF(ISNUMBER(FIND("住宅",C1)),"住宅","非住宅")</f>
        <v>非住宅</v>
      </c>
      <c r="O48" s="2420" t="s">
        <v>2380</v>
      </c>
      <c r="P48" s="2421" t="s">
        <v>2381</v>
      </c>
      <c r="Q48" s="2422" t="s">
        <v>2382</v>
      </c>
      <c r="R48" s="2421" t="s">
        <v>2383</v>
      </c>
    </row>
    <row r="49" spans="1:18" s="2060" customFormat="1" ht="18" customHeight="1" thickBot="1">
      <c r="A49" s="2085"/>
      <c r="D49" s="2092"/>
      <c r="E49" s="2093"/>
      <c r="F49" s="2090"/>
      <c r="G49" s="2091"/>
      <c r="H49" s="2094"/>
      <c r="I49" s="2384" t="s">
        <v>2349</v>
      </c>
      <c r="J49" s="2391"/>
      <c r="K49" s="2392" t="s">
        <v>2356</v>
      </c>
      <c r="L49" s="2393">
        <f ca="1">INDIRECT("'数据-取费表'!f"&amp;$G$1)</f>
        <v>36.049999999999997</v>
      </c>
      <c r="O49" s="2423" t="s">
        <v>2384</v>
      </c>
      <c r="P49" s="2424" t="s">
        <v>2410</v>
      </c>
      <c r="Q49" s="2425">
        <f ca="1">C41+J31</f>
        <v>0</v>
      </c>
      <c r="R49" s="2424" t="s">
        <v>2385</v>
      </c>
    </row>
    <row r="50" spans="1:18" s="2060" customFormat="1" ht="18" customHeight="1" thickBot="1">
      <c r="A50" s="2085"/>
      <c r="D50" s="2095"/>
      <c r="E50" s="2095"/>
      <c r="F50" s="2089"/>
      <c r="G50" s="2096"/>
      <c r="H50" s="2094"/>
      <c r="I50" s="2384" t="s">
        <v>2350</v>
      </c>
      <c r="J50" s="2394"/>
      <c r="K50" s="2395" t="s">
        <v>2357</v>
      </c>
      <c r="L50" s="2396"/>
      <c r="O50" s="2423" t="s">
        <v>2386</v>
      </c>
      <c r="P50" s="2424" t="s">
        <v>2411</v>
      </c>
      <c r="Q50" s="2425" t="str">
        <f ca="1">J61</f>
        <v>0</v>
      </c>
      <c r="R50" s="2424" t="s">
        <v>2387</v>
      </c>
    </row>
    <row r="51" spans="1:18" s="2060" customFormat="1" ht="18" customHeight="1" thickBot="1">
      <c r="A51" s="2097"/>
      <c r="D51" s="2095"/>
      <c r="E51" s="2095"/>
      <c r="F51" s="2086"/>
      <c r="H51" s="2094"/>
      <c r="I51" s="2384" t="s">
        <v>2351</v>
      </c>
      <c r="J51" s="2397">
        <f>SUMPRODUCT((I64:I66=J48)*(J63:L63=J49)*(J64:L66))</f>
        <v>0</v>
      </c>
      <c r="K51" s="2395" t="s">
        <v>2358</v>
      </c>
      <c r="L51" s="2396"/>
      <c r="O51" s="2426" t="s">
        <v>2388</v>
      </c>
      <c r="P51" s="2424" t="s">
        <v>2412</v>
      </c>
      <c r="Q51" s="2425">
        <f ca="1">C31</f>
        <v>183269</v>
      </c>
      <c r="R51" s="2424" t="s">
        <v>2385</v>
      </c>
    </row>
    <row r="52" spans="1:18" s="2060" customFormat="1" ht="18" customHeight="1" thickBot="1">
      <c r="A52" s="2097"/>
      <c r="F52" s="2086"/>
      <c r="I52" s="2385" t="s">
        <v>2352</v>
      </c>
      <c r="J52" s="2398">
        <f>IF(J50="",J51,J50+J51-YEAR('数据-取费表'!B3))</f>
        <v>0</v>
      </c>
      <c r="K52" s="2384" t="s">
        <v>2359</v>
      </c>
      <c r="L52" s="2399">
        <f ca="1">ROUND(-PV(INDIRECT("'数据-取费表'!h"&amp;$G$1),L49,(C40-C14*J36),0),0)</f>
        <v>5955</v>
      </c>
      <c r="O52" s="2426" t="s">
        <v>2389</v>
      </c>
      <c r="P52" s="2424" t="s">
        <v>2390</v>
      </c>
      <c r="Q52" s="2427" t="e">
        <f ca="1">J59</f>
        <v>#VALUE!</v>
      </c>
      <c r="R52" s="2428"/>
    </row>
    <row r="53" spans="1:18" s="2060" customFormat="1" ht="18" customHeight="1" thickBot="1">
      <c r="A53" s="2097"/>
      <c r="F53" s="2086"/>
      <c r="I53" s="2386" t="s">
        <v>2426</v>
      </c>
      <c r="J53" s="2400"/>
      <c r="K53" s="2386" t="s">
        <v>2425</v>
      </c>
      <c r="L53" s="2400"/>
      <c r="O53" s="2426" t="s">
        <v>2391</v>
      </c>
      <c r="P53" s="2424" t="s">
        <v>2392</v>
      </c>
      <c r="Q53" s="2427">
        <f>J53</f>
        <v>0</v>
      </c>
      <c r="R53" s="2428"/>
    </row>
    <row r="54" spans="1:18" s="2060" customFormat="1" ht="43.5" thickBot="1">
      <c r="A54" s="2097"/>
      <c r="I54" s="2387" t="s">
        <v>2353</v>
      </c>
      <c r="J54" s="2401">
        <f ca="1">IF(M48="住宅",J52,IF(J52&gt;L49,L49-'数据-取费表'!B25,J52))</f>
        <v>0</v>
      </c>
      <c r="K54" s="3731"/>
      <c r="L54" s="3732"/>
      <c r="O54" s="2426" t="s">
        <v>2393</v>
      </c>
      <c r="P54" s="2424" t="s">
        <v>2394</v>
      </c>
      <c r="Q54" s="2425">
        <f ca="1">J54</f>
        <v>0</v>
      </c>
      <c r="R54" s="2424" t="s">
        <v>2395</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2396</v>
      </c>
      <c r="P55" s="2424" t="s">
        <v>2413</v>
      </c>
      <c r="Q55" s="2425">
        <f ca="1">Q49+Q50</f>
        <v>0</v>
      </c>
      <c r="R55" s="2428" t="s">
        <v>2397</v>
      </c>
    </row>
    <row r="56" spans="1:18" s="2060" customFormat="1" ht="16.5" thickBot="1">
      <c r="A56" s="2097"/>
      <c r="B56" s="2098"/>
      <c r="C56" s="2098"/>
      <c r="I56" s="3129" t="s">
        <v>2360</v>
      </c>
      <c r="J56" s="3153" t="e">
        <f ca="1">ROUND(IF(J48="钢混",J58/J51,1-(1-2%)*(J51-J58)/J51),3)</f>
        <v>#VALUE!</v>
      </c>
      <c r="K56" s="2402" t="s">
        <v>2361</v>
      </c>
      <c r="L56" s="2403"/>
      <c r="O56" s="2429" t="s">
        <v>2416</v>
      </c>
      <c r="P56" s="1592"/>
      <c r="Q56" s="1604"/>
      <c r="R56" s="1592"/>
    </row>
    <row r="57" spans="1:18" s="2060" customFormat="1" ht="43.5" thickBot="1">
      <c r="A57" s="2097"/>
      <c r="B57" s="2098"/>
      <c r="C57" s="2098"/>
      <c r="I57" s="2404" t="s">
        <v>2362</v>
      </c>
      <c r="J57" s="3152" t="s">
        <v>1680</v>
      </c>
      <c r="K57" s="2384" t="s">
        <v>2367</v>
      </c>
      <c r="L57" s="2393">
        <f ca="1">IF(L49&lt;J52,"——",L49-J52)</f>
        <v>36.049999999999997</v>
      </c>
      <c r="O57" s="2420" t="s">
        <v>2380</v>
      </c>
      <c r="P57" s="2421" t="s">
        <v>2381</v>
      </c>
      <c r="Q57" s="2422" t="s">
        <v>2382</v>
      </c>
      <c r="R57" s="2421" t="s">
        <v>2383</v>
      </c>
    </row>
    <row r="58" spans="1:18" s="2060" customFormat="1" ht="29.25" thickBot="1">
      <c r="A58" s="2097"/>
      <c r="B58" s="2098"/>
      <c r="C58" s="2098"/>
      <c r="I58" s="2405" t="s">
        <v>2363</v>
      </c>
      <c r="J58" s="2407" t="str">
        <f ca="1">IF(OR(M48="住宅",J52&lt;L49,J57="是"),"——",J52-L49)</f>
        <v>——</v>
      </c>
      <c r="K58" s="2384" t="s">
        <v>2368</v>
      </c>
      <c r="L58" s="2393">
        <f ca="1">IF(L49&lt;J52,"——",IF(L56="比较法",L50,IF(L56="基准地价",L51,L52)))</f>
        <v>5955</v>
      </c>
      <c r="O58" s="2423" t="s">
        <v>2384</v>
      </c>
      <c r="P58" s="2424" t="s">
        <v>2410</v>
      </c>
      <c r="Q58" s="2425">
        <f ca="1">C41+J31</f>
        <v>0</v>
      </c>
      <c r="R58" s="2424" t="s">
        <v>2385</v>
      </c>
    </row>
    <row r="59" spans="1:18" s="2060" customFormat="1" ht="29.25" thickBot="1">
      <c r="A59" s="2097"/>
      <c r="B59" s="2098"/>
      <c r="C59" s="2098"/>
      <c r="I59" s="2405" t="s">
        <v>2364</v>
      </c>
      <c r="J59" s="3154" t="e">
        <f ca="1">IF(J56&lt;0.4,0.4,J56)</f>
        <v>#VALUE!</v>
      </c>
      <c r="K59" s="2384" t="s">
        <v>2369</v>
      </c>
      <c r="L59" s="2393">
        <f ca="1">IF(ISERROR(POWER(1+L53,L48-L49)*(POWER(1+L53,L49)-1)/(POWER(1+L53,L48)-1)),0,POWER(1+L53,L48-L49)*(POWER(1+L53,L49)-1)/(POWER(1+L53,L48)-1))</f>
        <v>0</v>
      </c>
      <c r="O59" s="2423" t="s">
        <v>2386</v>
      </c>
      <c r="P59" s="2424" t="s">
        <v>2417</v>
      </c>
      <c r="Q59" s="2425" t="e">
        <f ca="1">L61</f>
        <v>#DIV/0!</v>
      </c>
      <c r="R59" s="2428" t="s">
        <v>2419</v>
      </c>
    </row>
    <row r="60" spans="1:18" s="2060" customFormat="1" ht="29.25" thickBot="1">
      <c r="A60" s="2097"/>
      <c r="B60" s="2098"/>
      <c r="C60" s="2098"/>
      <c r="I60" s="2405" t="s">
        <v>2365</v>
      </c>
      <c r="J60" s="2407" t="str">
        <f ca="1">IF(OR(M48="住宅",J52&lt;L49,J57="是"),"——",ROUND(C30*J59,0))</f>
        <v>——</v>
      </c>
      <c r="K60" s="2384" t="s">
        <v>2370</v>
      </c>
      <c r="L60" s="2393">
        <f ca="1">IF(ISERROR(POWER(1+L53,L48-J52)*(POWER(1+L53,J52)-1)/(POWER(1+L53,L48)-1)),0,POWER(1+L53,L48-J52)*(POWER(1+L53,J52)-1)/(POWER(1+L53,L48)-1))</f>
        <v>0</v>
      </c>
      <c r="O60" s="2426" t="s">
        <v>2388</v>
      </c>
      <c r="P60" s="2424" t="s">
        <v>2418</v>
      </c>
      <c r="Q60" s="2425">
        <f>IF(L56="比较法",L50,IF(L56="基准地价",L51,0))</f>
        <v>0</v>
      </c>
      <c r="R60" s="2424" t="s">
        <v>2385</v>
      </c>
    </row>
    <row r="61" spans="1:18" s="2060" customFormat="1" ht="15.75" thickBot="1">
      <c r="A61" s="2097"/>
      <c r="B61" s="2098"/>
      <c r="C61" s="2098"/>
      <c r="I61" s="2406" t="s">
        <v>2366</v>
      </c>
      <c r="J61" s="2408" t="str">
        <f ca="1">IF(OR(M48="住宅",J52&lt;L49,J57="是"),"0",ROUND(J60/(1+J53)^J54,0))</f>
        <v>0</v>
      </c>
      <c r="K61" s="2409" t="s">
        <v>2371</v>
      </c>
      <c r="L61" s="2408" t="e">
        <f ca="1">IF(OR(M48="住宅",L49&lt;J52),0,ROUND(L58*(L59/L60-1),0))</f>
        <v>#DIV/0!</v>
      </c>
      <c r="O61" s="2426" t="s">
        <v>2389</v>
      </c>
      <c r="P61" s="2424" t="s">
        <v>2398</v>
      </c>
      <c r="Q61" s="2427">
        <f>L53</f>
        <v>0</v>
      </c>
      <c r="R61" s="2428"/>
    </row>
    <row r="62" spans="1:18" s="2060" customFormat="1" ht="20.25" thickBot="1">
      <c r="A62" s="2097"/>
      <c r="B62" s="2098"/>
      <c r="C62" s="2098"/>
      <c r="K62" s="2087"/>
      <c r="O62" s="2426" t="s">
        <v>2391</v>
      </c>
      <c r="P62" s="2424" t="s">
        <v>2399</v>
      </c>
      <c r="Q62" s="2425">
        <f ca="1">L59</f>
        <v>0</v>
      </c>
      <c r="R62" s="2428" t="s">
        <v>2400</v>
      </c>
    </row>
    <row r="63" spans="1:18" s="2060" customFormat="1" ht="20.25" thickBot="1">
      <c r="A63" s="2097"/>
      <c r="B63" s="2098"/>
      <c r="C63" s="2098"/>
      <c r="I63" s="2410" t="s">
        <v>2372</v>
      </c>
      <c r="J63" s="2411" t="s">
        <v>2373</v>
      </c>
      <c r="K63" s="2411" t="s">
        <v>2374</v>
      </c>
      <c r="L63" s="2411" t="s">
        <v>2355</v>
      </c>
      <c r="M63" s="3131" t="s">
        <v>2953</v>
      </c>
      <c r="O63" s="2426" t="s">
        <v>2393</v>
      </c>
      <c r="P63" s="2424" t="s">
        <v>2401</v>
      </c>
      <c r="Q63" s="2425">
        <f ca="1">L60</f>
        <v>0</v>
      </c>
      <c r="R63" s="2428" t="s">
        <v>2402</v>
      </c>
    </row>
    <row r="64" spans="1:18" s="2060" customFormat="1" ht="15.75" thickBot="1">
      <c r="A64" s="2097"/>
      <c r="B64" s="2098"/>
      <c r="C64" s="2098"/>
      <c r="I64" s="2410" t="s">
        <v>2375</v>
      </c>
      <c r="J64" s="2411">
        <v>70</v>
      </c>
      <c r="K64" s="2411">
        <v>50</v>
      </c>
      <c r="L64" s="2411">
        <v>80</v>
      </c>
      <c r="M64" s="3132">
        <v>0.02</v>
      </c>
      <c r="O64" s="2423" t="s">
        <v>2396</v>
      </c>
      <c r="P64" s="2424" t="s">
        <v>2413</v>
      </c>
      <c r="Q64" s="2425" t="e">
        <f ca="1">Q58+Q59</f>
        <v>#DIV/0!</v>
      </c>
      <c r="R64" s="2428" t="s">
        <v>2397</v>
      </c>
    </row>
    <row r="65" spans="1:18" s="2060" customFormat="1" ht="16.5" thickBot="1">
      <c r="A65" s="2097"/>
      <c r="B65" s="2098"/>
      <c r="C65" s="2098"/>
      <c r="I65" s="2410" t="s">
        <v>2376</v>
      </c>
      <c r="J65" s="2411">
        <v>50</v>
      </c>
      <c r="K65" s="2411">
        <v>35</v>
      </c>
      <c r="L65" s="2411">
        <v>60</v>
      </c>
      <c r="M65" s="3133">
        <v>0</v>
      </c>
      <c r="O65" s="2429" t="s">
        <v>2420</v>
      </c>
      <c r="P65" s="1592"/>
      <c r="Q65" s="1604"/>
      <c r="R65" s="1592"/>
    </row>
    <row r="66" spans="1:18" s="2060" customFormat="1" ht="15.75" thickBot="1">
      <c r="A66" s="2097"/>
      <c r="B66" s="2098"/>
      <c r="C66" s="2098"/>
      <c r="I66" s="2410" t="s">
        <v>2377</v>
      </c>
      <c r="J66" s="2411">
        <v>40</v>
      </c>
      <c r="K66" s="2411">
        <v>30</v>
      </c>
      <c r="L66" s="2411">
        <v>50</v>
      </c>
      <c r="M66" s="3132">
        <v>0.02</v>
      </c>
      <c r="O66" s="2420" t="s">
        <v>2380</v>
      </c>
      <c r="P66" s="2421" t="s">
        <v>2381</v>
      </c>
      <c r="Q66" s="2422" t="s">
        <v>2382</v>
      </c>
      <c r="R66" s="2421" t="s">
        <v>2383</v>
      </c>
    </row>
    <row r="67" spans="1:18" s="2060" customFormat="1" ht="15.75" thickBot="1">
      <c r="A67" s="2097"/>
      <c r="B67" s="2098"/>
      <c r="C67" s="2098"/>
      <c r="K67" s="2087"/>
      <c r="O67" s="2423" t="s">
        <v>2384</v>
      </c>
      <c r="P67" s="2424" t="s">
        <v>2410</v>
      </c>
      <c r="Q67" s="2425">
        <f ca="1">C41+J31</f>
        <v>0</v>
      </c>
      <c r="R67" s="2424" t="s">
        <v>2385</v>
      </c>
    </row>
    <row r="68" spans="1:18" s="2060" customFormat="1" ht="20.25" thickBot="1">
      <c r="A68" s="2097"/>
      <c r="B68" s="2098"/>
      <c r="C68" s="2098"/>
      <c r="K68" s="2087"/>
      <c r="O68" s="2423" t="s">
        <v>2386</v>
      </c>
      <c r="P68" s="2424" t="s">
        <v>2417</v>
      </c>
      <c r="Q68" s="2425" t="e">
        <f ca="1">L61</f>
        <v>#DIV/0!</v>
      </c>
      <c r="R68" s="2428" t="s">
        <v>2419</v>
      </c>
    </row>
    <row r="69" spans="1:18" s="2060" customFormat="1" ht="21.75" thickBot="1">
      <c r="A69" s="2097"/>
      <c r="B69" s="2098"/>
      <c r="C69" s="2098"/>
      <c r="K69" s="2087"/>
      <c r="O69" s="2426" t="s">
        <v>2388</v>
      </c>
      <c r="P69" s="2424" t="s">
        <v>2418</v>
      </c>
      <c r="Q69" s="2430">
        <f ca="1">L52</f>
        <v>5955</v>
      </c>
      <c r="R69" s="2431" t="s">
        <v>2421</v>
      </c>
    </row>
    <row r="70" spans="1:18" s="2060" customFormat="1" ht="20.25" thickBot="1">
      <c r="A70" s="2097"/>
      <c r="B70" s="2098"/>
      <c r="C70" s="2098"/>
      <c r="K70" s="2087"/>
      <c r="O70" s="2426" t="s">
        <v>2389</v>
      </c>
      <c r="P70" s="2432" t="s">
        <v>2403</v>
      </c>
      <c r="Q70" s="2425">
        <f ca="1">ROUND(Q71-Q72*Q73,0)</f>
        <v>-3525</v>
      </c>
      <c r="R70" s="2428"/>
    </row>
    <row r="71" spans="1:18" s="2060" customFormat="1" ht="15.75" thickBot="1">
      <c r="A71" s="2097"/>
      <c r="B71" s="2098"/>
      <c r="C71" s="2098"/>
      <c r="K71" s="2087"/>
      <c r="O71" s="2426" t="s">
        <v>2404</v>
      </c>
      <c r="P71" s="2432" t="s">
        <v>2405</v>
      </c>
      <c r="Q71" s="2425">
        <f ca="1">C42</f>
        <v>12053</v>
      </c>
      <c r="R71" s="2424" t="s">
        <v>2385</v>
      </c>
    </row>
    <row r="72" spans="1:18" s="2060" customFormat="1" ht="15.75" thickBot="1">
      <c r="A72" s="2097"/>
      <c r="B72" s="2098"/>
      <c r="C72" s="2098"/>
      <c r="K72" s="2087"/>
      <c r="O72" s="2426" t="s">
        <v>2406</v>
      </c>
      <c r="P72" s="2432" t="s">
        <v>2407</v>
      </c>
      <c r="Q72" s="2425">
        <f ca="1">C15</f>
        <v>183269</v>
      </c>
      <c r="R72" s="2424" t="s">
        <v>2385</v>
      </c>
    </row>
    <row r="73" spans="1:18" s="2060" customFormat="1" ht="15.75" thickBot="1">
      <c r="A73" s="2097"/>
      <c r="B73" s="2098"/>
      <c r="C73" s="2098"/>
      <c r="K73" s="2087"/>
      <c r="O73" s="2426" t="s">
        <v>2408</v>
      </c>
      <c r="P73" s="2432" t="s">
        <v>2409</v>
      </c>
      <c r="Q73" s="2427">
        <f ca="1">F43</f>
        <v>8.5000000000000006E-2</v>
      </c>
      <c r="R73" s="2428"/>
    </row>
    <row r="74" spans="1:18" s="2060" customFormat="1" ht="15.75" thickBot="1">
      <c r="A74" s="2097"/>
      <c r="B74" s="2098"/>
      <c r="C74" s="2098"/>
      <c r="K74" s="2087"/>
      <c r="O74" s="2426" t="s">
        <v>2391</v>
      </c>
      <c r="P74" s="2424" t="s">
        <v>2398</v>
      </c>
      <c r="Q74" s="2427">
        <f>L53</f>
        <v>0</v>
      </c>
      <c r="R74" s="2428"/>
    </row>
    <row r="75" spans="1:18" s="2060" customFormat="1" ht="20.25" thickBot="1">
      <c r="A75" s="2097"/>
      <c r="B75" s="2098"/>
      <c r="C75" s="2098"/>
      <c r="K75" s="2087"/>
      <c r="O75" s="2426" t="s">
        <v>2393</v>
      </c>
      <c r="P75" s="2424" t="s">
        <v>2399</v>
      </c>
      <c r="Q75" s="2425">
        <f ca="1">L59</f>
        <v>0</v>
      </c>
      <c r="R75" s="2428" t="s">
        <v>2400</v>
      </c>
    </row>
    <row r="76" spans="1:18" s="2060" customFormat="1" ht="20.25" thickBot="1">
      <c r="A76" s="2097"/>
      <c r="B76" s="2098"/>
      <c r="C76" s="2098"/>
      <c r="K76" s="2087"/>
      <c r="O76" s="2426" t="s">
        <v>2422</v>
      </c>
      <c r="P76" s="2424" t="s">
        <v>2401</v>
      </c>
      <c r="Q76" s="2425">
        <f ca="1">L60</f>
        <v>0</v>
      </c>
      <c r="R76" s="2428" t="s">
        <v>2402</v>
      </c>
    </row>
    <row r="77" spans="1:18" s="2060" customFormat="1" ht="15.75" thickBot="1">
      <c r="A77" s="2097"/>
      <c r="B77" s="2098"/>
      <c r="C77" s="2098"/>
      <c r="K77" s="2087"/>
      <c r="O77" s="2423" t="s">
        <v>2396</v>
      </c>
      <c r="P77" s="2424" t="s">
        <v>2413</v>
      </c>
      <c r="Q77" s="2425" t="e">
        <f ca="1">Q67+Q68</f>
        <v>#DIV/0!</v>
      </c>
      <c r="R77" s="2428" t="s">
        <v>2397</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486" t="str">
        <f>项目基本情况!B1</f>
        <v>出让国有建设用地使用权抵押价格预评估</v>
      </c>
      <c r="C37" s="3486"/>
      <c r="D37" s="3486"/>
      <c r="E37" s="3486"/>
      <c r="F37" s="3486"/>
      <c r="G37" s="3486"/>
      <c r="H37" s="3486"/>
      <c r="I37" s="3486"/>
    </row>
    <row r="38" spans="1:9">
      <c r="A38" s="1656"/>
      <c r="B38" s="1656"/>
    </row>
    <row r="39" spans="1:9">
      <c r="A39" s="1654" t="s">
        <v>1903</v>
      </c>
      <c r="B39" s="1654" t="s">
        <v>2050</v>
      </c>
    </row>
    <row r="40" spans="1:9">
      <c r="A40" s="1654"/>
      <c r="B40" s="1654">
        <f>项目基本情况!B5</f>
        <v>0</v>
      </c>
    </row>
    <row r="41" spans="1:9">
      <c r="A41" s="1654"/>
      <c r="B41" s="1654"/>
    </row>
    <row r="42" spans="1:9">
      <c r="A42" s="1654" t="s">
        <v>1903</v>
      </c>
      <c r="B42" s="1654" t="s">
        <v>2051</v>
      </c>
    </row>
    <row r="43" spans="1:9">
      <c r="A43" s="1654"/>
      <c r="B43" s="1654" t="s">
        <v>1905</v>
      </c>
    </row>
    <row r="44" spans="1:9">
      <c r="A44" s="1654"/>
      <c r="B44" s="1654"/>
    </row>
    <row r="45" spans="1:9">
      <c r="A45" s="1654" t="s">
        <v>1903</v>
      </c>
      <c r="B45" s="1654" t="s">
        <v>2049</v>
      </c>
    </row>
    <row r="46" spans="1:9" s="1654" customFormat="1" ht="12.75">
      <c r="B46" s="1654" t="str">
        <f>项目基本情况!K4</f>
        <v>土地估价师、土地估价师</v>
      </c>
    </row>
    <row r="47" spans="1:9">
      <c r="A47" s="1654"/>
      <c r="B47" s="1654"/>
    </row>
    <row r="48" spans="1:9">
      <c r="A48" s="1654" t="s">
        <v>1903</v>
      </c>
      <c r="B48" s="1654" t="s">
        <v>2052</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739" t="s">
        <v>2583</v>
      </c>
      <c r="C1" s="3739"/>
      <c r="D1" s="3739"/>
      <c r="E1" s="3739"/>
      <c r="F1" s="3739"/>
      <c r="G1" s="3738" t="s">
        <v>2584</v>
      </c>
      <c r="H1" s="3738"/>
      <c r="I1" s="3738"/>
      <c r="J1" s="3738"/>
      <c r="K1" s="3738"/>
      <c r="L1" s="3738"/>
      <c r="N1" s="3738" t="s">
        <v>2585</v>
      </c>
      <c r="O1" s="3738"/>
      <c r="P1" s="3738"/>
      <c r="Q1" s="3738"/>
      <c r="R1" s="2680"/>
      <c r="S1" s="3738" t="s">
        <v>2586</v>
      </c>
      <c r="T1" s="3738"/>
      <c r="U1" s="3738"/>
      <c r="V1" s="3738"/>
      <c r="X1" s="3737" t="s">
        <v>2646</v>
      </c>
      <c r="Y1" s="3738"/>
      <c r="Z1" s="3738"/>
      <c r="AA1" s="3738"/>
      <c r="AB1" s="3738"/>
      <c r="AD1" s="3737" t="s">
        <v>2650</v>
      </c>
      <c r="AE1" s="3738"/>
      <c r="AF1" s="3738"/>
      <c r="AG1" s="3738"/>
      <c r="AH1" s="3738"/>
    </row>
    <row r="2" spans="1:34" s="2782" customFormat="1" ht="14.25" thickBot="1">
      <c r="B2" s="2790" t="s">
        <v>2587</v>
      </c>
      <c r="C2" s="2790" t="s">
        <v>2648</v>
      </c>
      <c r="D2" s="2783" t="s">
        <v>1646</v>
      </c>
      <c r="E2" s="2783" t="s">
        <v>1953</v>
      </c>
      <c r="F2" s="2790" t="s">
        <v>2649</v>
      </c>
      <c r="G2" s="2786"/>
      <c r="H2" s="2785"/>
      <c r="I2" s="2790" t="s">
        <v>2968</v>
      </c>
      <c r="J2" s="2783" t="s">
        <v>2970</v>
      </c>
      <c r="K2" s="2783" t="s">
        <v>2971</v>
      </c>
      <c r="L2" s="2790" t="s">
        <v>2972</v>
      </c>
      <c r="N2" s="2790" t="s">
        <v>2587</v>
      </c>
      <c r="O2" s="2783" t="s">
        <v>2969</v>
      </c>
      <c r="P2" s="2783" t="s">
        <v>1953</v>
      </c>
      <c r="Q2" s="2790" t="s">
        <v>2649</v>
      </c>
      <c r="R2" s="2784"/>
      <c r="S2" s="2790" t="s">
        <v>2587</v>
      </c>
      <c r="T2" s="2783" t="s">
        <v>2969</v>
      </c>
      <c r="U2" s="2783" t="s">
        <v>1953</v>
      </c>
      <c r="V2" s="2790" t="s">
        <v>2649</v>
      </c>
      <c r="X2" s="2790" t="s">
        <v>2587</v>
      </c>
      <c r="Y2" s="2790" t="s">
        <v>2648</v>
      </c>
      <c r="Z2" s="2783" t="s">
        <v>1646</v>
      </c>
      <c r="AA2" s="2783" t="s">
        <v>1953</v>
      </c>
      <c r="AB2" s="2790" t="s">
        <v>2649</v>
      </c>
      <c r="AD2" s="2790" t="s">
        <v>2587</v>
      </c>
      <c r="AE2" s="2790" t="s">
        <v>2648</v>
      </c>
      <c r="AF2" s="2783" t="s">
        <v>1646</v>
      </c>
      <c r="AG2" s="2783" t="s">
        <v>1953</v>
      </c>
      <c r="AH2" s="2790" t="s">
        <v>2649</v>
      </c>
    </row>
    <row r="3" spans="1:34" s="3167" customFormat="1" ht="14.25">
      <c r="A3" s="3179" t="s">
        <v>2982</v>
      </c>
      <c r="B3" s="3168"/>
      <c r="C3" s="3168"/>
      <c r="D3" s="3169"/>
      <c r="E3" s="3169"/>
      <c r="F3" s="3168"/>
      <c r="G3" s="3170"/>
      <c r="H3" s="3171"/>
      <c r="I3" s="3178">
        <f>ROUND(AVERAGE($I6:$I21),2)</f>
        <v>2.4500000000000002</v>
      </c>
      <c r="J3" s="3178">
        <f>ROUND(AVERAGE($J6:$J21),2)</f>
        <v>1.65</v>
      </c>
      <c r="K3" s="3178">
        <f>ROUND(AVERAGE($K6:$K21),2)</f>
        <v>2.71</v>
      </c>
      <c r="L3" s="3178">
        <f>ROUND(AVERAGE($L6:$L21),2)</f>
        <v>1.39</v>
      </c>
      <c r="N3" s="3170"/>
      <c r="O3" s="3172"/>
      <c r="P3" s="3172"/>
      <c r="Q3" s="3172"/>
      <c r="R3" s="3172"/>
      <c r="S3" s="3170"/>
      <c r="T3" s="3172"/>
      <c r="U3" s="3172"/>
      <c r="V3" s="3172"/>
      <c r="W3" s="3175"/>
      <c r="X3" s="3173">
        <f>ROUND(SUMPRODUCT(PRODUCT(1+N3:N$20)),4)</f>
        <v>1.4274</v>
      </c>
      <c r="Y3" s="3173">
        <f>ROUND(SUMPRODUCT(PRODUCT(1+O3:O$20)),4)</f>
        <v>1.2685</v>
      </c>
      <c r="Z3" s="3173">
        <f t="shared" ref="Z3:Z18" si="0">Y3</f>
        <v>1.2685</v>
      </c>
      <c r="AA3" s="3173">
        <f>ROUND(SUMPRODUCT(PRODUCT(1+P3:P$20)),4)</f>
        <v>1.4825999999999999</v>
      </c>
      <c r="AB3" s="3173">
        <f>ROUND(SUMPRODUCT(PRODUCT(1+Q3:Q$20)),4)</f>
        <v>1.2309000000000001</v>
      </c>
      <c r="AD3" s="3174">
        <f>ROUND(AVERAGE(I3:I$21)/100,4)</f>
        <v>2.3099999999999999E-2</v>
      </c>
      <c r="AE3" s="3174">
        <f>ROUND(AVERAGE(J3:J$21)/100,4)</f>
        <v>1.5599999999999999E-2</v>
      </c>
      <c r="AF3" s="3174">
        <f t="shared" ref="AF3:AF19" si="1">AE3</f>
        <v>1.5599999999999999E-2</v>
      </c>
      <c r="AG3" s="3174">
        <f>ROUND(AVERAGE(K3:K$21)/100,4)</f>
        <v>2.5600000000000001E-2</v>
      </c>
      <c r="AH3" s="3174">
        <f>ROUND(AVERAGE(L3:L$21)/100,4)</f>
        <v>1.32E-2</v>
      </c>
    </row>
    <row r="4" spans="1:34" s="2775" customFormat="1" ht="14.25">
      <c r="B4" s="2776"/>
      <c r="C4" s="2776"/>
      <c r="D4" s="2777"/>
      <c r="E4" s="2777"/>
      <c r="F4" s="2776"/>
      <c r="G4" s="2781"/>
      <c r="H4" s="2778"/>
      <c r="I4" s="3160"/>
      <c r="J4" s="3160"/>
      <c r="K4" s="3160"/>
      <c r="L4" s="3160"/>
      <c r="N4" s="2781"/>
      <c r="O4" s="2779"/>
      <c r="P4" s="2779"/>
      <c r="Q4" s="2779"/>
      <c r="R4" s="2779"/>
      <c r="S4" s="2781"/>
      <c r="T4" s="2779"/>
      <c r="U4" s="2779"/>
      <c r="V4" s="2779"/>
      <c r="W4" s="3176"/>
      <c r="X4" s="2780"/>
      <c r="Y4" s="2780"/>
      <c r="Z4" s="2780"/>
      <c r="AA4" s="2780"/>
      <c r="AB4" s="2780"/>
      <c r="AD4" s="2700"/>
      <c r="AE4" s="2700"/>
      <c r="AF4" s="2700"/>
      <c r="AG4" s="2700"/>
      <c r="AH4" s="2700"/>
    </row>
    <row r="5" spans="1:34" s="3146" customFormat="1" ht="13.5" thickBot="1">
      <c r="A5" s="3144" t="s">
        <v>2981</v>
      </c>
      <c r="B5" s="2821">
        <f>B6*(1+N5)</f>
        <v>439.19121308559727</v>
      </c>
      <c r="C5" s="2821">
        <f t="shared" ref="C5" si="2">C6*(1+O5)</f>
        <v>326.28510789673351</v>
      </c>
      <c r="D5" s="2821">
        <f t="shared" ref="D5:D10" si="3">C5</f>
        <v>326.28510789673351</v>
      </c>
      <c r="E5" s="2821">
        <f t="shared" ref="E5" si="4">E6*(1+P5)</f>
        <v>626.49404043656455</v>
      </c>
      <c r="F5" s="2821">
        <f t="shared" ref="F5" si="5">F6*(1+Q5)</f>
        <v>283.46416215500358</v>
      </c>
      <c r="G5" s="2781">
        <v>2018</v>
      </c>
      <c r="H5" s="3145">
        <v>1</v>
      </c>
      <c r="I5" s="3161">
        <v>0</v>
      </c>
      <c r="J5" s="3161">
        <v>0</v>
      </c>
      <c r="K5" s="3161">
        <v>0</v>
      </c>
      <c r="L5" s="3161">
        <v>0</v>
      </c>
      <c r="N5" s="2788">
        <f t="shared" ref="N5:N10" si="6">I5/100</f>
        <v>0</v>
      </c>
      <c r="O5" s="2788">
        <f t="shared" ref="O5" si="7">J5/100</f>
        <v>0</v>
      </c>
      <c r="P5" s="2788">
        <f t="shared" ref="P5" si="8">K5/100</f>
        <v>0</v>
      </c>
      <c r="Q5" s="2788">
        <f t="shared" ref="Q5" si="9">L5/100</f>
        <v>0</v>
      </c>
      <c r="R5" s="3147"/>
      <c r="S5" s="3148"/>
      <c r="T5" s="3147"/>
      <c r="U5" s="3147"/>
      <c r="V5" s="3147"/>
      <c r="W5" s="3177" t="s">
        <v>2983</v>
      </c>
      <c r="X5" s="3149">
        <f>ROUND(SUMPRODUCT(PRODUCT(1+N5:N$20)),4)</f>
        <v>1.4274</v>
      </c>
      <c r="Y5" s="3149">
        <f>ROUND(SUMPRODUCT(PRODUCT(1+O5:O$20)),4)</f>
        <v>1.2685</v>
      </c>
      <c r="Z5" s="3149">
        <f t="shared" ref="Z5" si="10">Y5</f>
        <v>1.2685</v>
      </c>
      <c r="AA5" s="3149">
        <f>ROUND(SUMPRODUCT(PRODUCT(1+P5:P$20)),4)</f>
        <v>1.4825999999999999</v>
      </c>
      <c r="AB5" s="3149">
        <f>ROUND(SUMPRODUCT(PRODUCT(1+Q5:Q$20)),4)</f>
        <v>1.2309000000000001</v>
      </c>
      <c r="AD5" s="3150">
        <f>ROUND(AVERAGE(I5:I$21)/100,4)</f>
        <v>2.3E-2</v>
      </c>
      <c r="AE5" s="3150">
        <f>ROUND(AVERAGE(J5:J$21)/100,4)</f>
        <v>1.55E-2</v>
      </c>
      <c r="AF5" s="3150">
        <f t="shared" ref="AF5" si="11">AE5</f>
        <v>1.55E-2</v>
      </c>
      <c r="AG5" s="3150">
        <f>ROUND(AVERAGE(K5:K$21)/100,4)</f>
        <v>2.5499999999999998E-2</v>
      </c>
      <c r="AH5" s="3150">
        <f>ROUND(AVERAGE(L5:L$21)/100,4)</f>
        <v>1.3100000000000001E-2</v>
      </c>
    </row>
    <row r="6" spans="1:34">
      <c r="A6" s="2681" t="s">
        <v>2979</v>
      </c>
      <c r="B6" s="2687">
        <f t="shared" ref="B6" si="12">B7*(1+N6)</f>
        <v>439.19121308559727</v>
      </c>
      <c r="C6" s="2687">
        <f t="shared" ref="C6" si="13">C7*(1+O6)</f>
        <v>326.28510789673351</v>
      </c>
      <c r="D6" s="2687">
        <f t="shared" si="3"/>
        <v>326.28510789673351</v>
      </c>
      <c r="E6" s="2687">
        <f t="shared" ref="E6" si="14">E7*(1+P6)</f>
        <v>626.49404043656455</v>
      </c>
      <c r="F6" s="2688">
        <f t="shared" ref="F6" si="15">F7*(1+Q6)</f>
        <v>283.46416215500358</v>
      </c>
      <c r="G6" s="3164">
        <v>2017</v>
      </c>
      <c r="H6" s="2682">
        <v>4</v>
      </c>
      <c r="I6" s="2682">
        <v>1.71</v>
      </c>
      <c r="J6" s="2682">
        <v>1.78</v>
      </c>
      <c r="K6" s="2682">
        <v>1.71</v>
      </c>
      <c r="L6" s="2683">
        <v>1.43</v>
      </c>
      <c r="N6" s="2690">
        <f t="shared" si="6"/>
        <v>1.7100000000000001E-2</v>
      </c>
      <c r="O6" s="2691">
        <f t="shared" ref="O6" si="16">J6/100</f>
        <v>1.78E-2</v>
      </c>
      <c r="P6" s="2691">
        <f t="shared" ref="P6" si="17">K6/100</f>
        <v>1.7100000000000001E-2</v>
      </c>
      <c r="Q6" s="2691">
        <f t="shared" ref="Q6" si="18">L6/100</f>
        <v>1.43E-2</v>
      </c>
      <c r="R6" s="2692"/>
      <c r="S6" s="2693"/>
      <c r="T6" s="2694"/>
      <c r="U6" s="2694"/>
      <c r="V6" s="2694"/>
      <c r="X6" s="2780">
        <f>ROUND(SUMPRODUCT(PRODUCT(1+N6:N$20)),4)</f>
        <v>1.4274</v>
      </c>
      <c r="Y6" s="2780">
        <f>ROUND(SUMPRODUCT(PRODUCT(1+O6:O$20)),4)</f>
        <v>1.2685</v>
      </c>
      <c r="Z6" s="2780">
        <f t="shared" si="0"/>
        <v>1.2685</v>
      </c>
      <c r="AA6" s="2780">
        <f>ROUND(SUMPRODUCT(PRODUCT(1+P6:P$20)),4)</f>
        <v>1.4825999999999999</v>
      </c>
      <c r="AB6" s="2780">
        <f>ROUND(SUMPRODUCT(PRODUCT(1+Q6:Q$20)),4)</f>
        <v>1.2309000000000001</v>
      </c>
      <c r="AD6" s="2700">
        <f>ROUND(AVERAGE(I6:I$21)/100,4)</f>
        <v>2.4500000000000001E-2</v>
      </c>
      <c r="AE6" s="2700">
        <f>ROUND(AVERAGE(J6:J$21)/100,4)</f>
        <v>1.6500000000000001E-2</v>
      </c>
      <c r="AF6" s="2700">
        <f t="shared" si="1"/>
        <v>1.6500000000000001E-2</v>
      </c>
      <c r="AG6" s="2700">
        <f>ROUND(AVERAGE(K6:K$21)/100,4)</f>
        <v>2.7099999999999999E-2</v>
      </c>
      <c r="AH6" s="2700">
        <f>ROUND(AVERAGE(L6:L$21)/100,4)</f>
        <v>1.3899999999999999E-2</v>
      </c>
    </row>
    <row r="7" spans="1:34" s="2787" customFormat="1" ht="13.5" thickBot="1">
      <c r="A7" s="2681" t="s">
        <v>2984</v>
      </c>
      <c r="B7" s="2695">
        <f t="shared" ref="B7:C9" si="19">B8*(1+N7)</f>
        <v>431.80730811680002</v>
      </c>
      <c r="C7" s="2695">
        <f t="shared" si="19"/>
        <v>320.57880516480003</v>
      </c>
      <c r="D7" s="2695">
        <f t="shared" si="3"/>
        <v>320.57880516480003</v>
      </c>
      <c r="E7" s="2695">
        <f t="shared" ref="E7:F9" si="20">E8*(1+P7)</f>
        <v>615.96110553196797</v>
      </c>
      <c r="F7" s="2695">
        <f t="shared" si="20"/>
        <v>279.46777300108801</v>
      </c>
      <c r="G7" s="3166"/>
      <c r="H7" s="2685">
        <v>3</v>
      </c>
      <c r="I7" s="2685">
        <v>2.98</v>
      </c>
      <c r="J7" s="2685">
        <v>2.11</v>
      </c>
      <c r="K7" s="2685">
        <v>3.24</v>
      </c>
      <c r="L7" s="2696">
        <v>1.72</v>
      </c>
      <c r="M7" s="2689"/>
      <c r="N7" s="2690">
        <f t="shared" si="6"/>
        <v>2.98E-2</v>
      </c>
      <c r="O7" s="2691">
        <f t="shared" ref="O7:O8" si="21">J7/100</f>
        <v>2.1099999999999997E-2</v>
      </c>
      <c r="P7" s="2691">
        <f t="shared" ref="P7:P8" si="22">K7/100</f>
        <v>3.2400000000000005E-2</v>
      </c>
      <c r="Q7" s="2691">
        <f t="shared" ref="Q7:Q8" si="23">L7/100</f>
        <v>1.72E-2</v>
      </c>
      <c r="R7" s="2692"/>
      <c r="S7" s="2698"/>
      <c r="T7" s="2699"/>
      <c r="U7" s="2699"/>
      <c r="V7" s="2699"/>
      <c r="W7" s="2689"/>
      <c r="X7" s="2780">
        <f>ROUND(SUMPRODUCT(PRODUCT(1+N7:N$20)),4)</f>
        <v>1.4034</v>
      </c>
      <c r="Y7" s="2780">
        <f>ROUND(SUMPRODUCT(PRODUCT(1+O7:O$20)),4)</f>
        <v>1.2463</v>
      </c>
      <c r="Z7" s="2780">
        <f t="shared" si="0"/>
        <v>1.2463</v>
      </c>
      <c r="AA7" s="2780">
        <f>ROUND(SUMPRODUCT(PRODUCT(1+P7:P$20)),4)</f>
        <v>1.4577</v>
      </c>
      <c r="AB7" s="2780">
        <f>ROUND(SUMPRODUCT(PRODUCT(1+Q7:Q$20)),4)</f>
        <v>1.2136</v>
      </c>
      <c r="AC7" s="2689"/>
      <c r="AD7" s="2700">
        <f>ROUND(AVERAGE(I7:I$21)/100,4)</f>
        <v>2.4899999999999999E-2</v>
      </c>
      <c r="AE7" s="2700">
        <f>ROUND(AVERAGE(J7:J$21)/100,4)</f>
        <v>1.6400000000000001E-2</v>
      </c>
      <c r="AF7" s="2700">
        <f t="shared" si="1"/>
        <v>1.6400000000000001E-2</v>
      </c>
      <c r="AG7" s="2700">
        <f>ROUND(AVERAGE(K7:K$21)/100,4)</f>
        <v>2.7799999999999998E-2</v>
      </c>
      <c r="AH7" s="2700">
        <f>ROUND(AVERAGE(L7:L$21)/100,4)</f>
        <v>1.3899999999999999E-2</v>
      </c>
    </row>
    <row r="8" spans="1:34" s="2679" customFormat="1">
      <c r="A8" s="2681" t="s">
        <v>2588</v>
      </c>
      <c r="B8" s="2695">
        <f t="shared" si="19"/>
        <v>419.31181600000002</v>
      </c>
      <c r="C8" s="2695">
        <f t="shared" si="19"/>
        <v>313.95436800000004</v>
      </c>
      <c r="D8" s="2695">
        <f t="shared" si="3"/>
        <v>313.95436800000004</v>
      </c>
      <c r="E8" s="2695">
        <f t="shared" si="20"/>
        <v>596.63028431999999</v>
      </c>
      <c r="F8" s="2695">
        <f t="shared" si="20"/>
        <v>274.74220703999998</v>
      </c>
      <c r="G8" s="3165"/>
      <c r="H8" s="2686">
        <v>2</v>
      </c>
      <c r="I8" s="2686">
        <v>3.4</v>
      </c>
      <c r="J8" s="2686">
        <v>2</v>
      </c>
      <c r="K8" s="2686">
        <v>3.82</v>
      </c>
      <c r="L8" s="2697">
        <v>1.68</v>
      </c>
      <c r="N8" s="2690">
        <f t="shared" si="6"/>
        <v>3.4000000000000002E-2</v>
      </c>
      <c r="O8" s="2691">
        <f t="shared" si="21"/>
        <v>0.02</v>
      </c>
      <c r="P8" s="2691">
        <f t="shared" si="22"/>
        <v>3.8199999999999998E-2</v>
      </c>
      <c r="Q8" s="2691">
        <f t="shared" si="23"/>
        <v>1.6799999999999999E-2</v>
      </c>
      <c r="R8" s="2680"/>
      <c r="S8" s="2684"/>
      <c r="T8" s="2680"/>
      <c r="U8" s="2680"/>
      <c r="V8" s="2680"/>
      <c r="X8" s="2780">
        <f>ROUND(SUMPRODUCT(PRODUCT(1+N8:N$20)),4)</f>
        <v>1.3628</v>
      </c>
      <c r="Y8" s="2780">
        <f>ROUND(SUMPRODUCT(PRODUCT(1+O8:O$20)),4)</f>
        <v>1.2205999999999999</v>
      </c>
      <c r="Z8" s="2780">
        <f t="shared" si="0"/>
        <v>1.2205999999999999</v>
      </c>
      <c r="AA8" s="2780">
        <f>ROUND(SUMPRODUCT(PRODUCT(1+P8:P$20)),4)</f>
        <v>1.4118999999999999</v>
      </c>
      <c r="AB8" s="2780">
        <f>ROUND(SUMPRODUCT(PRODUCT(1+Q8:Q$20)),4)</f>
        <v>1.1930000000000001</v>
      </c>
      <c r="AD8" s="2700">
        <f>ROUND(AVERAGE(I8:I$21)/100,4)</f>
        <v>2.46E-2</v>
      </c>
      <c r="AE8" s="2700">
        <f>ROUND(AVERAGE(J8:J$21)/100,4)</f>
        <v>1.6E-2</v>
      </c>
      <c r="AF8" s="2700">
        <f t="shared" si="1"/>
        <v>1.6E-2</v>
      </c>
      <c r="AG8" s="2700">
        <f>ROUND(AVERAGE(K8:K$21)/100,4)</f>
        <v>2.75E-2</v>
      </c>
      <c r="AH8" s="2700">
        <f>ROUND(AVERAGE(L8:L$21)/100,4)</f>
        <v>1.37E-2</v>
      </c>
    </row>
    <row r="9" spans="1:34" s="2787" customFormat="1" ht="13.5" thickBot="1">
      <c r="A9" s="2681" t="s">
        <v>2589</v>
      </c>
      <c r="B9" s="2695">
        <f t="shared" si="19"/>
        <v>405.524</v>
      </c>
      <c r="C9" s="2695">
        <f t="shared" si="19"/>
        <v>307.79840000000002</v>
      </c>
      <c r="D9" s="2695">
        <f t="shared" si="3"/>
        <v>307.79840000000002</v>
      </c>
      <c r="E9" s="2695">
        <f t="shared" si="20"/>
        <v>574.67759999999998</v>
      </c>
      <c r="F9" s="2695">
        <f t="shared" si="20"/>
        <v>270.20280000000002</v>
      </c>
      <c r="G9" s="3166"/>
      <c r="H9" s="2685">
        <v>1</v>
      </c>
      <c r="I9" s="2685">
        <v>3.45</v>
      </c>
      <c r="J9" s="2685">
        <v>1.92</v>
      </c>
      <c r="K9" s="2685">
        <v>3.92</v>
      </c>
      <c r="L9" s="2696">
        <v>1.58</v>
      </c>
      <c r="M9" s="2689"/>
      <c r="N9" s="2690">
        <f t="shared" si="6"/>
        <v>3.4500000000000003E-2</v>
      </c>
      <c r="O9" s="2691">
        <f t="shared" ref="O9" si="24">J9/100</f>
        <v>1.9199999999999998E-2</v>
      </c>
      <c r="P9" s="2691">
        <f t="shared" ref="P9" si="25">K9/100</f>
        <v>3.9199999999999999E-2</v>
      </c>
      <c r="Q9" s="2691">
        <f t="shared" ref="Q9" si="26">L9/100</f>
        <v>1.5800000000000002E-2</v>
      </c>
      <c r="R9" s="2692"/>
      <c r="S9" s="2698">
        <f>B9/B10-1</f>
        <v>3.4499999999999975E-2</v>
      </c>
      <c r="T9" s="2699">
        <f>C9/C10-1</f>
        <v>1.9200000000000106E-2</v>
      </c>
      <c r="U9" s="2699">
        <f>E9/E10-1</f>
        <v>3.9199999999999902E-2</v>
      </c>
      <c r="V9" s="2699">
        <f>F9/F10-1</f>
        <v>1.5800000000000036E-2</v>
      </c>
      <c r="W9" s="2689"/>
      <c r="X9" s="2780">
        <f>ROUND(SUMPRODUCT(PRODUCT(1+N9:N$20)),4)</f>
        <v>1.3180000000000001</v>
      </c>
      <c r="Y9" s="2780">
        <f>ROUND(SUMPRODUCT(PRODUCT(1+O9:O$20)),4)</f>
        <v>1.1966000000000001</v>
      </c>
      <c r="Z9" s="2780">
        <f t="shared" si="0"/>
        <v>1.1966000000000001</v>
      </c>
      <c r="AA9" s="2780">
        <f>ROUND(SUMPRODUCT(PRODUCT(1+P9:P$20)),4)</f>
        <v>1.36</v>
      </c>
      <c r="AB9" s="2780">
        <f>ROUND(SUMPRODUCT(PRODUCT(1+Q9:Q$20)),4)</f>
        <v>1.1733</v>
      </c>
      <c r="AC9" s="2689"/>
      <c r="AD9" s="2700">
        <f>ROUND(AVERAGE(I9:I$21)/100,4)</f>
        <v>2.3900000000000001E-2</v>
      </c>
      <c r="AE9" s="2700">
        <f>ROUND(AVERAGE(J9:J$21)/100,4)</f>
        <v>1.5699999999999999E-2</v>
      </c>
      <c r="AF9" s="2700">
        <f t="shared" si="1"/>
        <v>1.5699999999999999E-2</v>
      </c>
      <c r="AG9" s="2700">
        <f>ROUND(AVERAGE(K9:K$21)/100,4)</f>
        <v>2.6599999999999999E-2</v>
      </c>
      <c r="AH9" s="2700">
        <f>ROUND(AVERAGE(L9:L$21)/100,4)</f>
        <v>1.34E-2</v>
      </c>
    </row>
    <row r="10" spans="1:34">
      <c r="A10" s="2681" t="s">
        <v>972</v>
      </c>
      <c r="B10" s="2687">
        <v>392</v>
      </c>
      <c r="C10" s="2687">
        <v>302</v>
      </c>
      <c r="D10" s="2687">
        <f t="shared" si="3"/>
        <v>302</v>
      </c>
      <c r="E10" s="2687">
        <v>553</v>
      </c>
      <c r="F10" s="2688">
        <v>266</v>
      </c>
      <c r="G10" s="3736">
        <v>2016</v>
      </c>
      <c r="H10" s="2682">
        <v>4</v>
      </c>
      <c r="I10" s="2682">
        <v>4.5599999999999996</v>
      </c>
      <c r="J10" s="2682">
        <v>2.15</v>
      </c>
      <c r="K10" s="2682">
        <v>5.32</v>
      </c>
      <c r="L10" s="2683">
        <v>1.57</v>
      </c>
      <c r="N10" s="2690">
        <f t="shared" si="6"/>
        <v>4.5599999999999995E-2</v>
      </c>
      <c r="O10" s="2691">
        <f t="shared" ref="O10:Q25" si="27">J10/100</f>
        <v>2.1499999999999998E-2</v>
      </c>
      <c r="P10" s="2691">
        <f t="shared" si="27"/>
        <v>5.3200000000000004E-2</v>
      </c>
      <c r="Q10" s="2691">
        <f t="shared" si="27"/>
        <v>1.5700000000000002E-2</v>
      </c>
      <c r="R10" s="2692"/>
      <c r="S10" s="2693"/>
      <c r="T10" s="2694"/>
      <c r="U10" s="2694"/>
      <c r="V10" s="2694"/>
      <c r="X10" s="2780">
        <f>ROUND(SUMPRODUCT(PRODUCT(1+N10:N$20)),4)</f>
        <v>1.274</v>
      </c>
      <c r="Y10" s="2780">
        <f>ROUND(SUMPRODUCT(PRODUCT(1+O10:O$20)),4)</f>
        <v>1.1740999999999999</v>
      </c>
      <c r="Z10" s="2780">
        <f t="shared" si="0"/>
        <v>1.1740999999999999</v>
      </c>
      <c r="AA10" s="2780">
        <f>ROUND(SUMPRODUCT(PRODUCT(1+P10:P$20)),4)</f>
        <v>1.3087</v>
      </c>
      <c r="AB10" s="2780">
        <f>ROUND(SUMPRODUCT(PRODUCT(1+Q10:Q$20)),4)</f>
        <v>1.1551</v>
      </c>
      <c r="AD10" s="2700">
        <f>ROUND(AVERAGE(I10:I$21)/100,4)</f>
        <v>2.3E-2</v>
      </c>
      <c r="AE10" s="2700">
        <f>ROUND(AVERAGE(J10:J$21)/100,4)</f>
        <v>1.55E-2</v>
      </c>
      <c r="AF10" s="2700">
        <f t="shared" si="1"/>
        <v>1.55E-2</v>
      </c>
      <c r="AG10" s="2700">
        <f>ROUND(AVERAGE(K10:K$21)/100,4)</f>
        <v>2.5600000000000001E-2</v>
      </c>
      <c r="AH10" s="2700">
        <f>ROUND(AVERAGE(L10:L$21)/100,4)</f>
        <v>1.32E-2</v>
      </c>
    </row>
    <row r="11" spans="1:34">
      <c r="A11" s="2681" t="s">
        <v>971</v>
      </c>
      <c r="B11" s="2695">
        <f t="shared" ref="B11:C13" si="28">B10/(1+N10)</f>
        <v>374.90436113236416</v>
      </c>
      <c r="C11" s="2695">
        <f t="shared" si="28"/>
        <v>295.64366128242779</v>
      </c>
      <c r="D11" s="2695">
        <f t="shared" ref="D11:D70" si="29">C11</f>
        <v>295.64366128242779</v>
      </c>
      <c r="E11" s="2695">
        <f t="shared" ref="E11:F13" si="30">E10/(1+P10)</f>
        <v>525.06646410938095</v>
      </c>
      <c r="F11" s="2695">
        <f t="shared" si="30"/>
        <v>261.88835286009646</v>
      </c>
      <c r="G11" s="3734"/>
      <c r="H11" s="2685">
        <v>3</v>
      </c>
      <c r="I11" s="2685">
        <v>4.12</v>
      </c>
      <c r="J11" s="2685">
        <v>2</v>
      </c>
      <c r="K11" s="2685">
        <v>4.79</v>
      </c>
      <c r="L11" s="2696">
        <v>1.97</v>
      </c>
      <c r="N11" s="2690">
        <f t="shared" ref="N11:Q45" si="31">I11/100</f>
        <v>4.1200000000000001E-2</v>
      </c>
      <c r="O11" s="2691">
        <f t="shared" si="27"/>
        <v>0.02</v>
      </c>
      <c r="P11" s="2691">
        <f t="shared" si="27"/>
        <v>4.7899999999999998E-2</v>
      </c>
      <c r="Q11" s="2691">
        <f t="shared" si="27"/>
        <v>1.9699999999999999E-2</v>
      </c>
      <c r="R11" s="2692"/>
      <c r="S11" s="2690"/>
      <c r="T11" s="2691"/>
      <c r="U11" s="2691"/>
      <c r="V11" s="2691"/>
      <c r="X11" s="2780">
        <f>ROUND(SUMPRODUCT(PRODUCT(1+N11:N$20)),4)</f>
        <v>1.2184999999999999</v>
      </c>
      <c r="Y11" s="2780">
        <f>ROUND(SUMPRODUCT(PRODUCT(1+O11:O$20)),4)</f>
        <v>1.1494</v>
      </c>
      <c r="Z11" s="2780">
        <f t="shared" si="0"/>
        <v>1.1494</v>
      </c>
      <c r="AA11" s="2780">
        <f>ROUND(SUMPRODUCT(PRODUCT(1+P11:P$20)),4)</f>
        <v>1.2425999999999999</v>
      </c>
      <c r="AB11" s="2780">
        <f>ROUND(SUMPRODUCT(PRODUCT(1+Q11:Q$20)),4)</f>
        <v>1.1372</v>
      </c>
      <c r="AD11" s="2700">
        <f>ROUND(AVERAGE(I11:I$21)/100,4)</f>
        <v>2.0899999999999998E-2</v>
      </c>
      <c r="AE11" s="2700">
        <f>ROUND(AVERAGE(J11:J$21)/100,4)</f>
        <v>1.49E-2</v>
      </c>
      <c r="AF11" s="2700">
        <f t="shared" si="1"/>
        <v>1.49E-2</v>
      </c>
      <c r="AG11" s="2700">
        <f>ROUND(AVERAGE(K11:K$21)/100,4)</f>
        <v>2.3099999999999999E-2</v>
      </c>
      <c r="AH11" s="2700">
        <f>ROUND(AVERAGE(L11:L$21)/100,4)</f>
        <v>1.2999999999999999E-2</v>
      </c>
    </row>
    <row r="12" spans="1:34">
      <c r="A12" s="2681" t="s">
        <v>961</v>
      </c>
      <c r="B12" s="2695">
        <f t="shared" si="28"/>
        <v>360.06949782209392</v>
      </c>
      <c r="C12" s="2695">
        <f t="shared" si="28"/>
        <v>289.84672674747821</v>
      </c>
      <c r="D12" s="2695">
        <f t="shared" si="29"/>
        <v>289.84672674747821</v>
      </c>
      <c r="E12" s="2695">
        <f t="shared" si="30"/>
        <v>501.06543001181495</v>
      </c>
      <c r="F12" s="2695">
        <f t="shared" si="30"/>
        <v>256.82882500744967</v>
      </c>
      <c r="G12" s="3734"/>
      <c r="H12" s="2686">
        <v>2</v>
      </c>
      <c r="I12" s="2686">
        <v>3.85</v>
      </c>
      <c r="J12" s="2686">
        <v>1.95</v>
      </c>
      <c r="K12" s="2686">
        <v>4.4800000000000004</v>
      </c>
      <c r="L12" s="2697">
        <v>1.41</v>
      </c>
      <c r="N12" s="2690">
        <f t="shared" si="31"/>
        <v>3.85E-2</v>
      </c>
      <c r="O12" s="2691">
        <f t="shared" si="27"/>
        <v>1.95E-2</v>
      </c>
      <c r="P12" s="2691">
        <f t="shared" si="27"/>
        <v>4.4800000000000006E-2</v>
      </c>
      <c r="Q12" s="2691">
        <f t="shared" si="27"/>
        <v>1.41E-2</v>
      </c>
      <c r="R12" s="2692"/>
      <c r="S12" s="2690"/>
      <c r="T12" s="2691"/>
      <c r="U12" s="2691"/>
      <c r="V12" s="2691"/>
      <c r="X12" s="2780">
        <f>ROUND(SUMPRODUCT(PRODUCT(1+N12:N$20)),4)</f>
        <v>1.1702999999999999</v>
      </c>
      <c r="Y12" s="2780">
        <f>ROUND(SUMPRODUCT(PRODUCT(1+O12:O$20)),4)</f>
        <v>1.1269</v>
      </c>
      <c r="Z12" s="2780">
        <f t="shared" si="0"/>
        <v>1.1269</v>
      </c>
      <c r="AA12" s="2780">
        <f>ROUND(SUMPRODUCT(PRODUCT(1+P12:P$20)),4)</f>
        <v>1.1858</v>
      </c>
      <c r="AB12" s="2780">
        <f>ROUND(SUMPRODUCT(PRODUCT(1+Q12:Q$20)),4)</f>
        <v>1.1152</v>
      </c>
      <c r="AD12" s="2700">
        <f>ROUND(AVERAGE(I12:I$21)/100,4)</f>
        <v>1.89E-2</v>
      </c>
      <c r="AE12" s="2700">
        <f>ROUND(AVERAGE(J12:J$21)/100,4)</f>
        <v>1.44E-2</v>
      </c>
      <c r="AF12" s="2700">
        <f t="shared" si="1"/>
        <v>1.44E-2</v>
      </c>
      <c r="AG12" s="2700">
        <f>ROUND(AVERAGE(K12:K$21)/100,4)</f>
        <v>2.06E-2</v>
      </c>
      <c r="AH12" s="2700">
        <f>ROUND(AVERAGE(L12:L$21)/100,4)</f>
        <v>1.23E-2</v>
      </c>
    </row>
    <row r="13" spans="1:34" ht="13.5" thickBot="1">
      <c r="A13" s="2681" t="s">
        <v>970</v>
      </c>
      <c r="B13" s="2695">
        <f t="shared" si="28"/>
        <v>346.720748986128</v>
      </c>
      <c r="C13" s="2695">
        <f t="shared" si="28"/>
        <v>284.30282172386285</v>
      </c>
      <c r="D13" s="2695">
        <f t="shared" si="29"/>
        <v>284.30282172386285</v>
      </c>
      <c r="E13" s="2695">
        <f t="shared" si="30"/>
        <v>479.58023546306947</v>
      </c>
      <c r="F13" s="2695">
        <f t="shared" si="30"/>
        <v>253.25788877571213</v>
      </c>
      <c r="G13" s="3735"/>
      <c r="H13" s="2685">
        <v>1</v>
      </c>
      <c r="I13" s="2685">
        <v>4.09</v>
      </c>
      <c r="J13" s="2685">
        <v>2.93</v>
      </c>
      <c r="K13" s="2685">
        <v>4.54</v>
      </c>
      <c r="L13" s="2696">
        <v>1.48</v>
      </c>
      <c r="N13" s="2690">
        <f t="shared" si="31"/>
        <v>4.0899999999999999E-2</v>
      </c>
      <c r="O13" s="2691">
        <f t="shared" si="27"/>
        <v>2.9300000000000003E-2</v>
      </c>
      <c r="P13" s="2691">
        <f t="shared" si="27"/>
        <v>4.5400000000000003E-2</v>
      </c>
      <c r="Q13" s="2691">
        <f t="shared" si="27"/>
        <v>1.4800000000000001E-2</v>
      </c>
      <c r="R13" s="2692"/>
      <c r="S13" s="2698">
        <f>B13/B14-1</f>
        <v>4.1203450408792808E-2</v>
      </c>
      <c r="T13" s="2699">
        <f>C13/C14-1</f>
        <v>2.6363977342465095E-2</v>
      </c>
      <c r="U13" s="2699">
        <f>E13/E14-1</f>
        <v>4.4837114298626357E-2</v>
      </c>
      <c r="V13" s="2699">
        <f>F13/F14-1</f>
        <v>1.7099954922538574E-2</v>
      </c>
      <c r="X13" s="2780">
        <f>ROUND(SUMPRODUCT(PRODUCT(1+N13:N$20)),4)</f>
        <v>1.1269</v>
      </c>
      <c r="Y13" s="2780">
        <f>ROUND(SUMPRODUCT(PRODUCT(1+O13:O$20)),4)</f>
        <v>1.1052999999999999</v>
      </c>
      <c r="Z13" s="2780">
        <f t="shared" si="0"/>
        <v>1.1052999999999999</v>
      </c>
      <c r="AA13" s="2780">
        <f>ROUND(SUMPRODUCT(PRODUCT(1+P13:P$20)),4)</f>
        <v>1.1349</v>
      </c>
      <c r="AB13" s="2780">
        <f>ROUND(SUMPRODUCT(PRODUCT(1+Q13:Q$20)),4)</f>
        <v>1.0996999999999999</v>
      </c>
      <c r="AD13" s="2700">
        <f>ROUND(AVERAGE(I13:I$21)/100,4)</f>
        <v>1.67E-2</v>
      </c>
      <c r="AE13" s="2700">
        <f>ROUND(AVERAGE(J13:J$21)/100,4)</f>
        <v>1.38E-2</v>
      </c>
      <c r="AF13" s="2700">
        <f t="shared" si="1"/>
        <v>1.38E-2</v>
      </c>
      <c r="AG13" s="2700">
        <f>ROUND(AVERAGE(K13:K$21)/100,4)</f>
        <v>1.7899999999999999E-2</v>
      </c>
      <c r="AH13" s="2700">
        <f>ROUND(AVERAGE(L13:L$21)/100,4)</f>
        <v>1.21E-2</v>
      </c>
    </row>
    <row r="14" spans="1:34" ht="13.5" thickBot="1">
      <c r="A14" s="2681" t="s">
        <v>969</v>
      </c>
      <c r="B14" s="2687">
        <v>333</v>
      </c>
      <c r="C14" s="2687">
        <v>277</v>
      </c>
      <c r="D14" s="2687">
        <f t="shared" si="29"/>
        <v>277</v>
      </c>
      <c r="E14" s="2687">
        <v>459</v>
      </c>
      <c r="F14" s="2688">
        <v>249</v>
      </c>
      <c r="G14" s="3733">
        <v>2015</v>
      </c>
      <c r="H14" s="2701">
        <v>4</v>
      </c>
      <c r="I14" s="2701">
        <v>1.63</v>
      </c>
      <c r="J14" s="2701">
        <v>1.1100000000000001</v>
      </c>
      <c r="K14" s="2701">
        <v>1.77</v>
      </c>
      <c r="L14" s="2702">
        <v>1.89</v>
      </c>
      <c r="N14" s="2703">
        <f t="shared" si="31"/>
        <v>1.6299999999999999E-2</v>
      </c>
      <c r="O14" s="2704">
        <f t="shared" si="27"/>
        <v>1.11E-2</v>
      </c>
      <c r="P14" s="2704">
        <f t="shared" si="27"/>
        <v>1.77E-2</v>
      </c>
      <c r="Q14" s="2704">
        <f t="shared" si="27"/>
        <v>1.89E-2</v>
      </c>
      <c r="R14" s="2692"/>
      <c r="X14" s="2780">
        <f>ROUND(SUMPRODUCT(PRODUCT(1+N14:N$20)),4)</f>
        <v>1.0826</v>
      </c>
      <c r="Y14" s="2780">
        <f>ROUND(SUMPRODUCT(PRODUCT(1+O14:O$20)),4)</f>
        <v>1.0738000000000001</v>
      </c>
      <c r="Z14" s="2780">
        <f t="shared" si="0"/>
        <v>1.0738000000000001</v>
      </c>
      <c r="AA14" s="2780">
        <f>ROUND(SUMPRODUCT(PRODUCT(1+P14:P$20)),4)</f>
        <v>1.0855999999999999</v>
      </c>
      <c r="AB14" s="2780">
        <f>ROUND(SUMPRODUCT(PRODUCT(1+Q14:Q$20)),4)</f>
        <v>1.0837000000000001</v>
      </c>
      <c r="AD14" s="2700">
        <f>ROUND(AVERAGE(I14:I$21)/100,4)</f>
        <v>1.37E-2</v>
      </c>
      <c r="AE14" s="2700">
        <f>ROUND(AVERAGE(J14:J$21)/100,4)</f>
        <v>1.1900000000000001E-2</v>
      </c>
      <c r="AF14" s="2700">
        <f t="shared" si="1"/>
        <v>1.1900000000000001E-2</v>
      </c>
      <c r="AG14" s="2700">
        <f>ROUND(AVERAGE(K14:K$21)/100,4)</f>
        <v>1.4500000000000001E-2</v>
      </c>
      <c r="AH14" s="2700">
        <f>ROUND(AVERAGE(L14:L$21)/100,4)</f>
        <v>1.18E-2</v>
      </c>
    </row>
    <row r="15" spans="1:34">
      <c r="A15" s="2681" t="s">
        <v>968</v>
      </c>
      <c r="B15" s="2695">
        <f t="shared" ref="B15:C17" si="32">B14/(1+N14)</f>
        <v>327.65915576109415</v>
      </c>
      <c r="C15" s="2695">
        <f t="shared" si="32"/>
        <v>273.95905449510434</v>
      </c>
      <c r="D15" s="2695">
        <f t="shared" si="29"/>
        <v>273.95905449510434</v>
      </c>
      <c r="E15" s="2695">
        <f t="shared" ref="E15:F17" si="33">E14/(1+P14)</f>
        <v>451.01699911565294</v>
      </c>
      <c r="F15" s="2695">
        <f t="shared" si="33"/>
        <v>244.38119540681129</v>
      </c>
      <c r="G15" s="3734"/>
      <c r="H15" s="2706">
        <v>3</v>
      </c>
      <c r="I15" s="2706">
        <v>1.65</v>
      </c>
      <c r="J15" s="2706">
        <v>0.92</v>
      </c>
      <c r="K15" s="2706">
        <v>1.88</v>
      </c>
      <c r="L15" s="2707">
        <v>1.26</v>
      </c>
      <c r="N15" s="2690">
        <f t="shared" si="31"/>
        <v>1.6500000000000001E-2</v>
      </c>
      <c r="O15" s="2708">
        <f t="shared" si="27"/>
        <v>9.1999999999999998E-3</v>
      </c>
      <c r="P15" s="2708">
        <f t="shared" si="27"/>
        <v>1.8799999999999997E-2</v>
      </c>
      <c r="Q15" s="2708">
        <f t="shared" si="27"/>
        <v>1.26E-2</v>
      </c>
      <c r="R15" s="2692"/>
      <c r="S15" s="2690"/>
      <c r="T15" s="2691"/>
      <c r="U15" s="2691"/>
      <c r="V15" s="2691"/>
      <c r="X15" s="2780">
        <f>ROUND(SUMPRODUCT(PRODUCT(1+N15:N$20)),4)</f>
        <v>1.0651999999999999</v>
      </c>
      <c r="Y15" s="2780">
        <f>ROUND(SUMPRODUCT(PRODUCT(1+O15:O$20)),4)</f>
        <v>1.0621</v>
      </c>
      <c r="Z15" s="2780">
        <f t="shared" si="0"/>
        <v>1.0621</v>
      </c>
      <c r="AA15" s="2780">
        <f>ROUND(SUMPRODUCT(PRODUCT(1+P15:P$20)),4)</f>
        <v>1.0668</v>
      </c>
      <c r="AB15" s="2780">
        <f>ROUND(SUMPRODUCT(PRODUCT(1+Q15:Q$20)),4)</f>
        <v>1.0636000000000001</v>
      </c>
      <c r="AD15" s="2700">
        <f>ROUND(AVERAGE(I15:I$21)/100,4)</f>
        <v>1.3299999999999999E-2</v>
      </c>
      <c r="AE15" s="2700">
        <f>ROUND(AVERAGE(J15:J$21)/100,4)</f>
        <v>1.2E-2</v>
      </c>
      <c r="AF15" s="2700">
        <f t="shared" si="1"/>
        <v>1.2E-2</v>
      </c>
      <c r="AG15" s="2700">
        <f>ROUND(AVERAGE(K15:K$21)/100,4)</f>
        <v>1.4E-2</v>
      </c>
      <c r="AH15" s="2700">
        <f>ROUND(AVERAGE(L15:L$21)/100,4)</f>
        <v>1.0800000000000001E-2</v>
      </c>
    </row>
    <row r="16" spans="1:34">
      <c r="A16" s="2681" t="s">
        <v>967</v>
      </c>
      <c r="B16" s="2695">
        <f t="shared" si="32"/>
        <v>322.34053690220776</v>
      </c>
      <c r="C16" s="2695">
        <f t="shared" si="32"/>
        <v>271.46160770422546</v>
      </c>
      <c r="D16" s="2695">
        <f t="shared" si="29"/>
        <v>271.46160770422546</v>
      </c>
      <c r="E16" s="2695">
        <f t="shared" si="33"/>
        <v>442.69434542172456</v>
      </c>
      <c r="F16" s="2695">
        <f t="shared" si="33"/>
        <v>241.34030753190925</v>
      </c>
      <c r="G16" s="3734"/>
      <c r="H16" s="2686">
        <v>2</v>
      </c>
      <c r="I16" s="2686">
        <v>0.77</v>
      </c>
      <c r="J16" s="2686">
        <v>0.69</v>
      </c>
      <c r="K16" s="2686">
        <v>0.8</v>
      </c>
      <c r="L16" s="2697">
        <v>0.88</v>
      </c>
      <c r="N16" s="2690">
        <f t="shared" si="31"/>
        <v>7.7000000000000002E-3</v>
      </c>
      <c r="O16" s="2708">
        <f t="shared" si="27"/>
        <v>6.8999999999999999E-3</v>
      </c>
      <c r="P16" s="2708">
        <f t="shared" si="27"/>
        <v>8.0000000000000002E-3</v>
      </c>
      <c r="Q16" s="2708">
        <f t="shared" si="27"/>
        <v>8.8000000000000005E-3</v>
      </c>
      <c r="R16" s="2692"/>
      <c r="S16" s="2690"/>
      <c r="T16" s="2691"/>
      <c r="U16" s="2691"/>
      <c r="V16" s="2691"/>
      <c r="X16" s="2780">
        <f>ROUND(SUMPRODUCT(PRODUCT(1+N16:N$20)),4)</f>
        <v>1.048</v>
      </c>
      <c r="Y16" s="2780">
        <f>ROUND(SUMPRODUCT(PRODUCT(1+O16:O$20)),4)</f>
        <v>1.0524</v>
      </c>
      <c r="Z16" s="2780">
        <f t="shared" si="0"/>
        <v>1.0524</v>
      </c>
      <c r="AA16" s="2780">
        <f>ROUND(SUMPRODUCT(PRODUCT(1+P16:P$20)),4)</f>
        <v>1.0470999999999999</v>
      </c>
      <c r="AB16" s="2780">
        <f>ROUND(SUMPRODUCT(PRODUCT(1+Q16:Q$20)),4)</f>
        <v>1.0504</v>
      </c>
      <c r="AD16" s="2700">
        <f>ROUND(AVERAGE(I16:I$21)/100,4)</f>
        <v>1.2800000000000001E-2</v>
      </c>
      <c r="AE16" s="2700">
        <f>ROUND(AVERAGE(J16:J$21)/100,4)</f>
        <v>1.2500000000000001E-2</v>
      </c>
      <c r="AF16" s="2700">
        <f t="shared" si="1"/>
        <v>1.2500000000000001E-2</v>
      </c>
      <c r="AG16" s="2700">
        <f>ROUND(AVERAGE(K16:K$21)/100,4)</f>
        <v>1.32E-2</v>
      </c>
      <c r="AH16" s="2700">
        <f>ROUND(AVERAGE(L16:L$21)/100,4)</f>
        <v>1.0500000000000001E-2</v>
      </c>
    </row>
    <row r="17" spans="1:34">
      <c r="A17" s="2681" t="s">
        <v>966</v>
      </c>
      <c r="B17" s="2695">
        <f t="shared" si="32"/>
        <v>319.87748030386797</v>
      </c>
      <c r="C17" s="2695">
        <f t="shared" si="32"/>
        <v>269.60135833173649</v>
      </c>
      <c r="D17" s="2695">
        <f t="shared" si="29"/>
        <v>269.60135833173649</v>
      </c>
      <c r="E17" s="2695">
        <f t="shared" si="33"/>
        <v>439.18089823583784</v>
      </c>
      <c r="F17" s="2695">
        <f t="shared" si="33"/>
        <v>239.23503918706311</v>
      </c>
      <c r="G17" s="3735"/>
      <c r="H17" s="2685">
        <v>1</v>
      </c>
      <c r="I17" s="2685">
        <v>0.51</v>
      </c>
      <c r="J17" s="2685">
        <v>0.54</v>
      </c>
      <c r="K17" s="2685">
        <v>0.48</v>
      </c>
      <c r="L17" s="2696">
        <v>0.93</v>
      </c>
      <c r="N17" s="2698">
        <f t="shared" si="31"/>
        <v>5.1000000000000004E-3</v>
      </c>
      <c r="O17" s="2699">
        <f t="shared" si="27"/>
        <v>5.4000000000000003E-3</v>
      </c>
      <c r="P17" s="2699">
        <f t="shared" si="27"/>
        <v>4.7999999999999996E-3</v>
      </c>
      <c r="Q17" s="2699">
        <f t="shared" si="27"/>
        <v>9.300000000000001E-3</v>
      </c>
      <c r="R17" s="2692"/>
      <c r="S17" s="2698">
        <f>B17/B18-1</f>
        <v>5.9040261127922822E-3</v>
      </c>
      <c r="T17" s="2699">
        <f>C17/C18-1</f>
        <v>5.9752176557332781E-3</v>
      </c>
      <c r="U17" s="2699">
        <f>E17/E18-1</f>
        <v>4.9906138119859556E-3</v>
      </c>
      <c r="V17" s="2699">
        <f>F17/F18-1</f>
        <v>9.4305450930933787E-3</v>
      </c>
      <c r="X17" s="2780">
        <f>ROUND(SUMPRODUCT(PRODUCT(1+N17:N$20)),4)</f>
        <v>1.0399</v>
      </c>
      <c r="Y17" s="2780">
        <f>ROUND(SUMPRODUCT(PRODUCT(1+O17:O$20)),4)</f>
        <v>1.0451999999999999</v>
      </c>
      <c r="Z17" s="2780">
        <f t="shared" si="0"/>
        <v>1.0451999999999999</v>
      </c>
      <c r="AA17" s="2780">
        <f>ROUND(SUMPRODUCT(PRODUCT(1+P17:P$20)),4)</f>
        <v>1.0387999999999999</v>
      </c>
      <c r="AB17" s="2780">
        <f>ROUND(SUMPRODUCT(PRODUCT(1+Q17:Q$20)),4)</f>
        <v>1.0411999999999999</v>
      </c>
      <c r="AD17" s="2700">
        <f>ROUND(AVERAGE(I17:I$21)/100,4)</f>
        <v>1.38E-2</v>
      </c>
      <c r="AE17" s="2700">
        <f>ROUND(AVERAGE(J17:J$21)/100,4)</f>
        <v>1.3599999999999999E-2</v>
      </c>
      <c r="AF17" s="2700">
        <f t="shared" si="1"/>
        <v>1.3599999999999999E-2</v>
      </c>
      <c r="AG17" s="2700">
        <f>ROUND(AVERAGE(K17:K$21)/100,4)</f>
        <v>1.4200000000000001E-2</v>
      </c>
      <c r="AH17" s="2700">
        <f>ROUND(AVERAGE(L17:L$21)/100,4)</f>
        <v>1.0800000000000001E-2</v>
      </c>
    </row>
    <row r="18" spans="1:34" ht="13.5" thickBot="1">
      <c r="A18" s="2681" t="s">
        <v>965</v>
      </c>
      <c r="B18" s="2709">
        <v>318</v>
      </c>
      <c r="C18" s="2709">
        <v>268</v>
      </c>
      <c r="D18" s="2709">
        <f t="shared" si="29"/>
        <v>268</v>
      </c>
      <c r="E18" s="2709">
        <v>437</v>
      </c>
      <c r="F18" s="2710">
        <v>237</v>
      </c>
      <c r="G18" s="3733">
        <v>2014</v>
      </c>
      <c r="H18" s="2701">
        <v>4</v>
      </c>
      <c r="I18" s="2701">
        <v>0.21</v>
      </c>
      <c r="J18" s="2701">
        <v>0.41</v>
      </c>
      <c r="K18" s="2701">
        <v>0.12</v>
      </c>
      <c r="L18" s="2702">
        <v>0.89</v>
      </c>
      <c r="N18" s="2690">
        <f t="shared" si="31"/>
        <v>2.0999999999999999E-3</v>
      </c>
      <c r="O18" s="2691">
        <f t="shared" si="27"/>
        <v>4.0999999999999995E-3</v>
      </c>
      <c r="P18" s="2691">
        <f t="shared" si="27"/>
        <v>1.1999999999999999E-3</v>
      </c>
      <c r="Q18" s="2691">
        <f t="shared" si="27"/>
        <v>8.8999999999999999E-3</v>
      </c>
      <c r="R18" s="2692"/>
      <c r="S18" s="2693"/>
      <c r="T18" s="2694"/>
      <c r="U18" s="2694"/>
      <c r="V18" s="2694"/>
      <c r="X18" s="2780">
        <f>ROUND(SUMPRODUCT(PRODUCT(1+N18:N$20)),4)</f>
        <v>1.0347</v>
      </c>
      <c r="Y18" s="2780">
        <f>ROUND(SUMPRODUCT(PRODUCT(1+O18:O$20)),4)</f>
        <v>1.0395000000000001</v>
      </c>
      <c r="Z18" s="2780">
        <f t="shared" si="0"/>
        <v>1.0395000000000001</v>
      </c>
      <c r="AA18" s="2780">
        <f>ROUND(SUMPRODUCT(PRODUCT(1+P18:P$20)),4)</f>
        <v>1.0338000000000001</v>
      </c>
      <c r="AB18" s="2780">
        <f>ROUND(SUMPRODUCT(PRODUCT(1+Q18:Q$20)),4)</f>
        <v>1.0316000000000001</v>
      </c>
      <c r="AD18" s="2700">
        <f>ROUND(AVERAGE(I18:I$21)/100,4)</f>
        <v>1.6E-2</v>
      </c>
      <c r="AE18" s="2700">
        <f>ROUND(AVERAGE(J18:J$21)/100,4)</f>
        <v>1.5599999999999999E-2</v>
      </c>
      <c r="AF18" s="2700">
        <f t="shared" si="1"/>
        <v>1.5599999999999999E-2</v>
      </c>
      <c r="AG18" s="2700">
        <f>ROUND(AVERAGE(K18:K$21)/100,4)</f>
        <v>1.66E-2</v>
      </c>
      <c r="AH18" s="2700">
        <f>ROUND(AVERAGE(L18:L$21)/100,4)</f>
        <v>1.12E-2</v>
      </c>
    </row>
    <row r="19" spans="1:34">
      <c r="A19" s="2681" t="s">
        <v>964</v>
      </c>
      <c r="B19" s="2695">
        <f t="shared" ref="B19:C21" si="34">B18/(1+N18)</f>
        <v>317.33359944117353</v>
      </c>
      <c r="C19" s="2695">
        <f t="shared" si="34"/>
        <v>266.90568668459315</v>
      </c>
      <c r="D19" s="2695">
        <f t="shared" si="29"/>
        <v>266.90568668459315</v>
      </c>
      <c r="E19" s="2695">
        <f t="shared" ref="E19:F21" si="35">E18/(1+P18)</f>
        <v>436.47622852576905</v>
      </c>
      <c r="F19" s="2695">
        <f t="shared" si="35"/>
        <v>234.90930716622066</v>
      </c>
      <c r="G19" s="3734"/>
      <c r="H19" s="2711">
        <v>3</v>
      </c>
      <c r="I19" s="2711">
        <v>0.83</v>
      </c>
      <c r="J19" s="2711">
        <v>1.47</v>
      </c>
      <c r="K19" s="2711">
        <v>0.65</v>
      </c>
      <c r="L19" s="2712">
        <v>0.72</v>
      </c>
      <c r="N19" s="2690">
        <f t="shared" si="31"/>
        <v>8.3000000000000001E-3</v>
      </c>
      <c r="O19" s="2691">
        <f t="shared" si="27"/>
        <v>1.47E-2</v>
      </c>
      <c r="P19" s="2691">
        <f t="shared" si="27"/>
        <v>6.5000000000000006E-3</v>
      </c>
      <c r="Q19" s="2691">
        <f t="shared" si="27"/>
        <v>7.1999999999999998E-3</v>
      </c>
      <c r="R19" s="2692"/>
      <c r="S19" s="2690"/>
      <c r="T19" s="2691"/>
      <c r="U19" s="2691"/>
      <c r="V19" s="2691"/>
      <c r="X19" s="2780">
        <f>ROUND(SUMPRODUCT(PRODUCT(1+N19:N$20)),4)</f>
        <v>1.0325</v>
      </c>
      <c r="Y19" s="2780">
        <f>ROUND(SUMPRODUCT(PRODUCT(1+O19:O$20)),4)</f>
        <v>1.0353000000000001</v>
      </c>
      <c r="Z19" s="2780">
        <f t="shared" ref="Z19:Z20" si="36">Y19</f>
        <v>1.0353000000000001</v>
      </c>
      <c r="AA19" s="2780">
        <f>ROUND(SUMPRODUCT(PRODUCT(1+P19:P$20)),4)</f>
        <v>1.0326</v>
      </c>
      <c r="AB19" s="2780">
        <f>ROUND(SUMPRODUCT(PRODUCT(1+Q19:Q$20)),4)</f>
        <v>1.0225</v>
      </c>
      <c r="AD19" s="2700">
        <f>ROUND(AVERAGE(I19:I$21)/100,4)</f>
        <v>2.07E-2</v>
      </c>
      <c r="AE19" s="2700">
        <f>ROUND(AVERAGE(J19:J$21)/100,4)</f>
        <v>1.95E-2</v>
      </c>
      <c r="AF19" s="2700">
        <f t="shared" si="1"/>
        <v>1.95E-2</v>
      </c>
      <c r="AG19" s="2700">
        <f>ROUND(AVERAGE(K19:K$21)/100,4)</f>
        <v>2.1700000000000001E-2</v>
      </c>
      <c r="AH19" s="2700">
        <f>ROUND(AVERAGE(L19:L$21)/100,4)</f>
        <v>1.2E-2</v>
      </c>
    </row>
    <row r="20" spans="1:34" ht="13.5" thickBot="1">
      <c r="A20" s="2681" t="s">
        <v>963</v>
      </c>
      <c r="B20" s="2695">
        <f t="shared" si="34"/>
        <v>314.72141172386546</v>
      </c>
      <c r="C20" s="2695">
        <f t="shared" si="34"/>
        <v>263.03901319069001</v>
      </c>
      <c r="D20" s="2695">
        <f t="shared" si="29"/>
        <v>263.03901319069001</v>
      </c>
      <c r="E20" s="2695">
        <f t="shared" si="35"/>
        <v>433.65745506782821</v>
      </c>
      <c r="F20" s="2695">
        <f t="shared" si="35"/>
        <v>233.23005080045735</v>
      </c>
      <c r="G20" s="3734"/>
      <c r="H20" s="2701">
        <v>2</v>
      </c>
      <c r="I20" s="2701">
        <v>2.4</v>
      </c>
      <c r="J20" s="2701">
        <v>2.0299999999999998</v>
      </c>
      <c r="K20" s="2701">
        <v>2.59</v>
      </c>
      <c r="L20" s="2702">
        <v>1.52</v>
      </c>
      <c r="N20" s="2690">
        <f t="shared" si="31"/>
        <v>2.4E-2</v>
      </c>
      <c r="O20" s="2691">
        <f t="shared" si="27"/>
        <v>2.0299999999999999E-2</v>
      </c>
      <c r="P20" s="2691">
        <f t="shared" si="27"/>
        <v>2.5899999999999999E-2</v>
      </c>
      <c r="Q20" s="2691">
        <f t="shared" si="27"/>
        <v>1.52E-2</v>
      </c>
      <c r="R20" s="2692"/>
      <c r="S20" s="2690"/>
      <c r="T20" s="2691"/>
      <c r="U20" s="2691"/>
      <c r="V20" s="2691"/>
      <c r="X20" s="2780">
        <f>1+N20</f>
        <v>1.024</v>
      </c>
      <c r="Y20" s="2780">
        <f>1+O20</f>
        <v>1.0203</v>
      </c>
      <c r="Z20" s="2780">
        <f t="shared" si="36"/>
        <v>1.0203</v>
      </c>
      <c r="AA20" s="2780">
        <f>1+P20</f>
        <v>1.0259</v>
      </c>
      <c r="AB20" s="2780">
        <f>1+Q20</f>
        <v>1.0152000000000001</v>
      </c>
      <c r="AD20" s="2700">
        <f>ROUND(AVERAGE(I20:I$21)/100,4)</f>
        <v>2.69E-2</v>
      </c>
      <c r="AE20" s="2700">
        <f>ROUND(AVERAGE(J20:J$21)/100,4)</f>
        <v>2.1899999999999999E-2</v>
      </c>
      <c r="AF20" s="2700">
        <f t="shared" ref="AF20" si="37">AE20</f>
        <v>2.1899999999999999E-2</v>
      </c>
      <c r="AG20" s="2700">
        <f>ROUND(AVERAGE(K20:K$21)/100,4)</f>
        <v>2.9399999999999999E-2</v>
      </c>
      <c r="AH20" s="2700">
        <f>ROUND(AVERAGE(L20:L$21)/100,4)</f>
        <v>1.44E-2</v>
      </c>
    </row>
    <row r="21" spans="1:34" s="2717" customFormat="1" ht="13.5" thickBot="1">
      <c r="A21" s="2713" t="s">
        <v>962</v>
      </c>
      <c r="B21" s="2714">
        <f t="shared" si="34"/>
        <v>307.34512863658733</v>
      </c>
      <c r="C21" s="2714">
        <f t="shared" si="34"/>
        <v>257.80556031626975</v>
      </c>
      <c r="D21" s="2714">
        <f t="shared" si="29"/>
        <v>257.80556031626975</v>
      </c>
      <c r="E21" s="2714">
        <f t="shared" si="35"/>
        <v>422.70928459677179</v>
      </c>
      <c r="F21" s="2714">
        <f t="shared" si="35"/>
        <v>229.73803270336617</v>
      </c>
      <c r="G21" s="3735"/>
      <c r="H21" s="2715">
        <v>1</v>
      </c>
      <c r="I21" s="2715">
        <v>2.97</v>
      </c>
      <c r="J21" s="2715">
        <v>2.34</v>
      </c>
      <c r="K21" s="2715">
        <v>3.28</v>
      </c>
      <c r="L21" s="2716">
        <v>1.36</v>
      </c>
      <c r="N21" s="2718">
        <f t="shared" si="31"/>
        <v>2.9700000000000001E-2</v>
      </c>
      <c r="O21" s="2719">
        <f t="shared" si="27"/>
        <v>2.3399999999999997E-2</v>
      </c>
      <c r="P21" s="2719">
        <f t="shared" si="27"/>
        <v>3.2799999999999996E-2</v>
      </c>
      <c r="Q21" s="2719">
        <f t="shared" si="27"/>
        <v>1.3600000000000001E-2</v>
      </c>
      <c r="R21" s="2720"/>
      <c r="S21" s="2721">
        <f>B21/B22-1</f>
        <v>2.7910129219355539E-2</v>
      </c>
      <c r="T21" s="2722">
        <f>C21/C22-1</f>
        <v>2.3037937762975247E-2</v>
      </c>
      <c r="U21" s="2722">
        <f>E21/E22-1</f>
        <v>3.3519033243940788E-2</v>
      </c>
      <c r="V21" s="2722">
        <f>F21/F22-1</f>
        <v>1.2061818076502862E-2</v>
      </c>
      <c r="W21" s="2789" t="s">
        <v>2647</v>
      </c>
      <c r="X21" s="2791">
        <v>1</v>
      </c>
      <c r="Y21" s="2791">
        <v>1</v>
      </c>
      <c r="Z21" s="2791">
        <v>1</v>
      </c>
      <c r="AA21" s="2791">
        <v>1</v>
      </c>
      <c r="AB21" s="2791">
        <v>1</v>
      </c>
      <c r="AD21" s="3035">
        <f>I21/100</f>
        <v>2.9700000000000001E-2</v>
      </c>
      <c r="AE21" s="3035">
        <f>J21/100</f>
        <v>2.3399999999999997E-2</v>
      </c>
      <c r="AF21" s="3035">
        <f>AE21</f>
        <v>2.3399999999999997E-2</v>
      </c>
      <c r="AG21" s="3035">
        <f>K21/100</f>
        <v>3.2799999999999996E-2</v>
      </c>
      <c r="AH21" s="3035">
        <f>L21/100</f>
        <v>1.3600000000000001E-2</v>
      </c>
    </row>
    <row r="22" spans="1:34" ht="13.5" thickBot="1">
      <c r="A22" s="2681" t="s">
        <v>2590</v>
      </c>
      <c r="B22" s="2687">
        <v>299</v>
      </c>
      <c r="C22" s="2687">
        <v>252</v>
      </c>
      <c r="D22" s="2687">
        <f t="shared" si="29"/>
        <v>252</v>
      </c>
      <c r="E22" s="2687">
        <v>409</v>
      </c>
      <c r="F22" s="2688">
        <v>227</v>
      </c>
      <c r="G22" s="3740">
        <v>2013</v>
      </c>
      <c r="H22" s="2723">
        <v>4</v>
      </c>
      <c r="I22" s="2723">
        <v>1.83</v>
      </c>
      <c r="J22" s="2723">
        <v>1.68</v>
      </c>
      <c r="K22" s="2723">
        <v>1.97</v>
      </c>
      <c r="L22" s="2724">
        <v>0.87</v>
      </c>
      <c r="N22" s="2703">
        <f t="shared" si="31"/>
        <v>1.83E-2</v>
      </c>
      <c r="O22" s="2704">
        <f t="shared" si="27"/>
        <v>1.6799999999999999E-2</v>
      </c>
      <c r="P22" s="2704">
        <f t="shared" si="27"/>
        <v>1.9699999999999999E-2</v>
      </c>
      <c r="Q22" s="2704">
        <f t="shared" si="27"/>
        <v>8.6999999999999994E-3</v>
      </c>
      <c r="R22" s="2692"/>
      <c r="S22" s="2693"/>
      <c r="T22" s="2694"/>
      <c r="U22" s="2694"/>
      <c r="V22" s="2694"/>
      <c r="X22" s="2694"/>
      <c r="Y22" s="2694"/>
      <c r="Z22" s="2694"/>
    </row>
    <row r="23" spans="1:34">
      <c r="A23" s="2681" t="s">
        <v>2591</v>
      </c>
      <c r="B23" s="2695">
        <f t="shared" ref="B23:C25" si="38">B22/(1+N22)</f>
        <v>293.62663262299913</v>
      </c>
      <c r="C23" s="2695">
        <f t="shared" si="38"/>
        <v>247.83634933123525</v>
      </c>
      <c r="D23" s="2695">
        <f t="shared" si="29"/>
        <v>247.83634933123525</v>
      </c>
      <c r="E23" s="2695">
        <f t="shared" ref="E23:F25" si="39">E22/(1+P22)</f>
        <v>401.09836226341076</v>
      </c>
      <c r="F23" s="2695">
        <f t="shared" si="39"/>
        <v>225.04213343908003</v>
      </c>
      <c r="G23" s="3741"/>
      <c r="H23" s="2706">
        <v>3</v>
      </c>
      <c r="I23" s="2706">
        <v>1.86</v>
      </c>
      <c r="J23" s="2706">
        <v>1.72</v>
      </c>
      <c r="K23" s="2706">
        <v>1.98</v>
      </c>
      <c r="L23" s="2707">
        <v>0.88</v>
      </c>
      <c r="N23" s="2690">
        <f t="shared" si="31"/>
        <v>1.8600000000000002E-2</v>
      </c>
      <c r="O23" s="2708">
        <f t="shared" si="27"/>
        <v>1.72E-2</v>
      </c>
      <c r="P23" s="2708">
        <f t="shared" si="27"/>
        <v>1.9799999999999998E-2</v>
      </c>
      <c r="Q23" s="2708">
        <f t="shared" si="27"/>
        <v>8.8000000000000005E-3</v>
      </c>
      <c r="R23" s="2692"/>
      <c r="S23" s="2690"/>
      <c r="T23" s="2691"/>
      <c r="U23" s="2691"/>
      <c r="V23" s="2691"/>
    </row>
    <row r="24" spans="1:34">
      <c r="A24" s="2681" t="s">
        <v>2592</v>
      </c>
      <c r="B24" s="2695">
        <f t="shared" si="38"/>
        <v>288.2649053828776</v>
      </c>
      <c r="C24" s="2695">
        <f t="shared" si="38"/>
        <v>243.64564425013293</v>
      </c>
      <c r="D24" s="2695">
        <f t="shared" si="29"/>
        <v>243.64564425013293</v>
      </c>
      <c r="E24" s="2695">
        <f t="shared" si="39"/>
        <v>393.31080825986544</v>
      </c>
      <c r="F24" s="2695">
        <f t="shared" si="39"/>
        <v>223.07903790551154</v>
      </c>
      <c r="G24" s="3741"/>
      <c r="H24" s="2686">
        <v>2</v>
      </c>
      <c r="I24" s="2686">
        <v>2.04</v>
      </c>
      <c r="J24" s="2686">
        <v>2.33</v>
      </c>
      <c r="K24" s="2686">
        <v>2.0699999999999998</v>
      </c>
      <c r="L24" s="2697">
        <v>0.69</v>
      </c>
      <c r="N24" s="2690">
        <f t="shared" si="31"/>
        <v>2.0400000000000001E-2</v>
      </c>
      <c r="O24" s="2708">
        <f t="shared" si="27"/>
        <v>2.3300000000000001E-2</v>
      </c>
      <c r="P24" s="2708">
        <f t="shared" si="27"/>
        <v>2.07E-2</v>
      </c>
      <c r="Q24" s="2708">
        <f t="shared" si="27"/>
        <v>6.8999999999999999E-3</v>
      </c>
      <c r="R24" s="2692"/>
      <c r="S24" s="2690"/>
      <c r="T24" s="2691"/>
      <c r="U24" s="2691"/>
      <c r="V24" s="2691"/>
      <c r="X24" s="2792"/>
      <c r="Y24" s="2794"/>
    </row>
    <row r="25" spans="1:34">
      <c r="A25" s="2681" t="s">
        <v>2593</v>
      </c>
      <c r="B25" s="2695">
        <f t="shared" si="38"/>
        <v>282.50186729015837</v>
      </c>
      <c r="C25" s="2695">
        <f t="shared" si="38"/>
        <v>238.09796174155468</v>
      </c>
      <c r="D25" s="2695">
        <f t="shared" si="29"/>
        <v>238.09796174155468</v>
      </c>
      <c r="E25" s="2695">
        <f t="shared" si="39"/>
        <v>385.33438646014054</v>
      </c>
      <c r="F25" s="2695">
        <f t="shared" si="39"/>
        <v>221.55034055567739</v>
      </c>
      <c r="G25" s="3742"/>
      <c r="H25" s="2685">
        <v>1</v>
      </c>
      <c r="I25" s="2685">
        <v>1.67</v>
      </c>
      <c r="J25" s="2685">
        <v>1.31</v>
      </c>
      <c r="K25" s="2685">
        <v>1.85</v>
      </c>
      <c r="L25" s="2696">
        <v>0.96</v>
      </c>
      <c r="N25" s="2698">
        <f t="shared" si="31"/>
        <v>1.67E-2</v>
      </c>
      <c r="O25" s="2699">
        <f t="shared" si="27"/>
        <v>1.3100000000000001E-2</v>
      </c>
      <c r="P25" s="2699">
        <f t="shared" si="27"/>
        <v>1.8500000000000003E-2</v>
      </c>
      <c r="Q25" s="2699">
        <f t="shared" si="27"/>
        <v>9.5999999999999992E-3</v>
      </c>
      <c r="R25" s="2692"/>
      <c r="S25" s="2698">
        <f>B25/B26-1</f>
        <v>1.6193767230785472E-2</v>
      </c>
      <c r="T25" s="2699">
        <f>C25/C26-1</f>
        <v>1.7512657015190891E-2</v>
      </c>
      <c r="U25" s="2699">
        <f>E25/E26-1</f>
        <v>1.6713420739157048E-2</v>
      </c>
      <c r="V25" s="2699">
        <f>F25/F26-1</f>
        <v>7.0470025258062563E-3</v>
      </c>
      <c r="X25" s="2793"/>
      <c r="Y25" s="2700"/>
      <c r="Z25" s="2700"/>
    </row>
    <row r="26" spans="1:34" ht="13.5" thickBot="1">
      <c r="A26" s="2681" t="s">
        <v>2594</v>
      </c>
      <c r="B26" s="2725">
        <v>278</v>
      </c>
      <c r="C26" s="2725">
        <v>234</v>
      </c>
      <c r="D26" s="2725">
        <f t="shared" si="29"/>
        <v>234</v>
      </c>
      <c r="E26" s="2725">
        <v>379</v>
      </c>
      <c r="F26" s="2726">
        <v>220</v>
      </c>
      <c r="G26" s="3733">
        <v>2012</v>
      </c>
      <c r="H26" s="2701">
        <v>4</v>
      </c>
      <c r="I26" s="2701">
        <v>0.91</v>
      </c>
      <c r="J26" s="2701">
        <v>0.68</v>
      </c>
      <c r="K26" s="2701">
        <v>0.98</v>
      </c>
      <c r="L26" s="2702">
        <v>0.9</v>
      </c>
      <c r="N26" s="2690">
        <f t="shared" si="31"/>
        <v>9.1000000000000004E-3</v>
      </c>
      <c r="O26" s="2691">
        <f t="shared" si="31"/>
        <v>6.8000000000000005E-3</v>
      </c>
      <c r="P26" s="2691">
        <f t="shared" si="31"/>
        <v>9.7999999999999997E-3</v>
      </c>
      <c r="Q26" s="2691">
        <f t="shared" si="31"/>
        <v>9.0000000000000011E-3</v>
      </c>
      <c r="R26" s="2692"/>
      <c r="S26" s="2693"/>
      <c r="T26" s="2694"/>
      <c r="U26" s="2694"/>
      <c r="V26" s="2694"/>
      <c r="X26" s="2694"/>
      <c r="Y26" s="2694"/>
      <c r="Z26" s="2694"/>
    </row>
    <row r="27" spans="1:34">
      <c r="A27" s="2681" t="s">
        <v>2595</v>
      </c>
      <c r="B27" s="2695">
        <f>B26/(1+N26)</f>
        <v>275.49301357645425</v>
      </c>
      <c r="C27" s="2695">
        <f>C26/(1+O26)</f>
        <v>232.41954707985698</v>
      </c>
      <c r="D27" s="2695">
        <f t="shared" si="29"/>
        <v>232.41954707985698</v>
      </c>
      <c r="E27" s="2695">
        <f t="shared" ref="E27:F29" si="40">E26/(1+P26)</f>
        <v>375.32184591008121</v>
      </c>
      <c r="F27" s="2695">
        <f t="shared" si="40"/>
        <v>218.03766105054513</v>
      </c>
      <c r="G27" s="3734"/>
      <c r="H27" s="2706">
        <v>3</v>
      </c>
      <c r="I27" s="2706">
        <v>0.09</v>
      </c>
      <c r="J27" s="2706">
        <v>0.28999999999999998</v>
      </c>
      <c r="K27" s="2706">
        <v>-0.01</v>
      </c>
      <c r="L27" s="2707">
        <v>0.57999999999999996</v>
      </c>
      <c r="N27" s="2690">
        <f t="shared" si="31"/>
        <v>8.9999999999999998E-4</v>
      </c>
      <c r="O27" s="2691">
        <f t="shared" si="31"/>
        <v>2.8999999999999998E-3</v>
      </c>
      <c r="P27" s="2691">
        <f t="shared" si="31"/>
        <v>-1E-4</v>
      </c>
      <c r="Q27" s="2691">
        <f t="shared" si="31"/>
        <v>5.7999999999999996E-3</v>
      </c>
      <c r="R27" s="2692"/>
      <c r="S27" s="2690"/>
      <c r="T27" s="2691"/>
      <c r="U27" s="2691"/>
      <c r="V27" s="2691"/>
    </row>
    <row r="28" spans="1:34">
      <c r="A28" s="2681" t="s">
        <v>2596</v>
      </c>
      <c r="B28" s="2695">
        <f>B27/(1+N27)</f>
        <v>275.24529281292263</v>
      </c>
      <c r="C28" s="2695">
        <f>C27/(1+O27)</f>
        <v>231.74747938962707</v>
      </c>
      <c r="D28" s="2695">
        <f t="shared" si="29"/>
        <v>231.74747938962707</v>
      </c>
      <c r="E28" s="2695">
        <f t="shared" si="40"/>
        <v>375.35938184826603</v>
      </c>
      <c r="F28" s="2695">
        <f t="shared" si="40"/>
        <v>216.78033510692495</v>
      </c>
      <c r="G28" s="3734"/>
      <c r="H28" s="2686">
        <v>2</v>
      </c>
      <c r="I28" s="2686">
        <v>0.02</v>
      </c>
      <c r="J28" s="2686">
        <v>0.12</v>
      </c>
      <c r="K28" s="2686">
        <v>-0.08</v>
      </c>
      <c r="L28" s="2697">
        <v>1.24</v>
      </c>
      <c r="N28" s="2690">
        <f t="shared" si="31"/>
        <v>2.0000000000000001E-4</v>
      </c>
      <c r="O28" s="2691">
        <f t="shared" si="31"/>
        <v>1.1999999999999999E-3</v>
      </c>
      <c r="P28" s="2691">
        <f t="shared" si="31"/>
        <v>-8.0000000000000004E-4</v>
      </c>
      <c r="Q28" s="2691">
        <f t="shared" si="31"/>
        <v>1.24E-2</v>
      </c>
      <c r="R28" s="2692"/>
      <c r="S28" s="2690"/>
      <c r="T28" s="2691"/>
      <c r="U28" s="2691"/>
      <c r="V28" s="2691"/>
    </row>
    <row r="29" spans="1:34" ht="13.5" thickBot="1">
      <c r="A29" s="2681" t="s">
        <v>2597</v>
      </c>
      <c r="B29" s="2695">
        <f>B28/(1+N28)</f>
        <v>275.19025476197027</v>
      </c>
      <c r="C29" s="2727">
        <v>232</v>
      </c>
      <c r="D29" s="2727">
        <f t="shared" si="29"/>
        <v>232</v>
      </c>
      <c r="E29" s="2695">
        <f t="shared" si="40"/>
        <v>375.65990977608692</v>
      </c>
      <c r="F29" s="2695">
        <f t="shared" si="40"/>
        <v>214.12518283971252</v>
      </c>
      <c r="G29" s="3735"/>
      <c r="H29" s="2685">
        <v>1</v>
      </c>
      <c r="I29" s="2685">
        <v>0.02</v>
      </c>
      <c r="J29" s="2685">
        <v>0.13</v>
      </c>
      <c r="K29" s="2685">
        <v>-0.04</v>
      </c>
      <c r="L29" s="2696">
        <v>0.46</v>
      </c>
      <c r="N29" s="2690">
        <f t="shared" si="31"/>
        <v>2.0000000000000001E-4</v>
      </c>
      <c r="O29" s="2691">
        <f t="shared" si="31"/>
        <v>1.2999999999999999E-3</v>
      </c>
      <c r="P29" s="2691">
        <f t="shared" si="31"/>
        <v>-4.0000000000000002E-4</v>
      </c>
      <c r="Q29" s="2691">
        <f t="shared" si="31"/>
        <v>4.5999999999999999E-3</v>
      </c>
      <c r="R29" s="2692"/>
      <c r="S29" s="2698">
        <f>B29/B30-1</f>
        <v>6.9183549807361189E-4</v>
      </c>
      <c r="T29" s="2699">
        <f>C29/C30-1</f>
        <v>0</v>
      </c>
      <c r="U29" s="2699">
        <f>E29/E30-1</f>
        <v>-9.0449527636460303E-4</v>
      </c>
      <c r="V29" s="2699">
        <f>F29/F30-1</f>
        <v>5.2825485432512753E-3</v>
      </c>
      <c r="X29" s="2700"/>
      <c r="Y29" s="2700"/>
      <c r="Z29" s="2700"/>
    </row>
    <row r="30" spans="1:34" ht="13.5" thickBot="1">
      <c r="A30" s="2681" t="s">
        <v>2598</v>
      </c>
      <c r="B30" s="2687">
        <v>275</v>
      </c>
      <c r="C30" s="2687">
        <v>232</v>
      </c>
      <c r="D30" s="2687">
        <f t="shared" si="29"/>
        <v>232</v>
      </c>
      <c r="E30" s="2687">
        <v>376</v>
      </c>
      <c r="F30" s="2688">
        <v>213</v>
      </c>
      <c r="G30" s="3733">
        <v>2011</v>
      </c>
      <c r="H30" s="2701">
        <v>4</v>
      </c>
      <c r="I30" s="2701">
        <v>-0.2</v>
      </c>
      <c r="J30" s="2701">
        <v>0.04</v>
      </c>
      <c r="K30" s="2701">
        <v>-0.34</v>
      </c>
      <c r="L30" s="2702">
        <v>0.46</v>
      </c>
      <c r="N30" s="2703">
        <f t="shared" si="31"/>
        <v>-2E-3</v>
      </c>
      <c r="O30" s="2704">
        <f t="shared" si="31"/>
        <v>4.0000000000000002E-4</v>
      </c>
      <c r="P30" s="2704">
        <f t="shared" si="31"/>
        <v>-3.4000000000000002E-3</v>
      </c>
      <c r="Q30" s="2704">
        <f t="shared" si="31"/>
        <v>4.5999999999999999E-3</v>
      </c>
      <c r="R30" s="2692"/>
      <c r="S30" s="2693"/>
      <c r="T30" s="2694"/>
      <c r="U30" s="2694"/>
      <c r="V30" s="2694"/>
      <c r="X30" s="2694"/>
      <c r="Y30" s="2694"/>
      <c r="Z30" s="2694"/>
    </row>
    <row r="31" spans="1:34">
      <c r="A31" s="2681" t="s">
        <v>2599</v>
      </c>
      <c r="B31" s="2695">
        <f t="shared" ref="B31:C33" si="41">B30/(1+N30)</f>
        <v>275.55110220440883</v>
      </c>
      <c r="C31" s="2695">
        <f t="shared" si="41"/>
        <v>231.90723710515795</v>
      </c>
      <c r="D31" s="2695">
        <f t="shared" si="29"/>
        <v>231.90723710515795</v>
      </c>
      <c r="E31" s="2695">
        <f t="shared" ref="E31:F33" si="42">E30/(1+P30)</f>
        <v>377.28276138872161</v>
      </c>
      <c r="F31" s="2695">
        <f t="shared" si="42"/>
        <v>212.02468644236512</v>
      </c>
      <c r="G31" s="3734">
        <v>2011</v>
      </c>
      <c r="H31" s="2706">
        <v>3</v>
      </c>
      <c r="I31" s="2706">
        <v>0.13</v>
      </c>
      <c r="J31" s="2706">
        <v>0.75</v>
      </c>
      <c r="K31" s="2706">
        <v>-0.08</v>
      </c>
      <c r="L31" s="2707">
        <v>0.53</v>
      </c>
      <c r="N31" s="2690">
        <f t="shared" si="31"/>
        <v>1.2999999999999999E-3</v>
      </c>
      <c r="O31" s="2708">
        <f t="shared" si="31"/>
        <v>7.4999999999999997E-3</v>
      </c>
      <c r="P31" s="2708">
        <f t="shared" si="31"/>
        <v>-8.0000000000000004E-4</v>
      </c>
      <c r="Q31" s="2708">
        <f t="shared" si="31"/>
        <v>5.3E-3</v>
      </c>
      <c r="R31" s="2692"/>
      <c r="S31" s="2690"/>
      <c r="T31" s="2691"/>
      <c r="U31" s="2691"/>
      <c r="V31" s="2691"/>
    </row>
    <row r="32" spans="1:34">
      <c r="A32" s="2681" t="s">
        <v>2600</v>
      </c>
      <c r="B32" s="2695">
        <f t="shared" si="41"/>
        <v>275.19335084830601</v>
      </c>
      <c r="C32" s="2695">
        <f t="shared" si="41"/>
        <v>230.18088050139744</v>
      </c>
      <c r="D32" s="2695">
        <f t="shared" si="29"/>
        <v>230.18088050139744</v>
      </c>
      <c r="E32" s="2695">
        <f t="shared" si="42"/>
        <v>377.58482925212331</v>
      </c>
      <c r="F32" s="2695">
        <f t="shared" si="42"/>
        <v>210.90687997847917</v>
      </c>
      <c r="G32" s="3734">
        <v>2011</v>
      </c>
      <c r="H32" s="2686">
        <v>2</v>
      </c>
      <c r="I32" s="2686">
        <v>-0.4</v>
      </c>
      <c r="J32" s="2686">
        <v>0.17</v>
      </c>
      <c r="K32" s="2686">
        <v>-0.57999999999999996</v>
      </c>
      <c r="L32" s="2697">
        <v>-0.2</v>
      </c>
      <c r="N32" s="2690">
        <f t="shared" si="31"/>
        <v>-4.0000000000000001E-3</v>
      </c>
      <c r="O32" s="2708">
        <f t="shared" si="31"/>
        <v>1.7000000000000001E-3</v>
      </c>
      <c r="P32" s="2708">
        <f t="shared" si="31"/>
        <v>-5.7999999999999996E-3</v>
      </c>
      <c r="Q32" s="2708">
        <f t="shared" si="31"/>
        <v>-2E-3</v>
      </c>
      <c r="R32" s="2692"/>
      <c r="S32" s="2690"/>
      <c r="T32" s="2691"/>
      <c r="U32" s="2691"/>
      <c r="V32" s="2691"/>
    </row>
    <row r="33" spans="1:26" ht="13.5" thickBot="1">
      <c r="A33" s="2681" t="s">
        <v>2601</v>
      </c>
      <c r="B33" s="2695">
        <f t="shared" si="41"/>
        <v>276.29854502841971</v>
      </c>
      <c r="C33" s="2695">
        <f t="shared" si="41"/>
        <v>229.79023709833027</v>
      </c>
      <c r="D33" s="2695">
        <f t="shared" si="29"/>
        <v>229.79023709833027</v>
      </c>
      <c r="E33" s="2695">
        <f t="shared" si="42"/>
        <v>379.78759731655936</v>
      </c>
      <c r="F33" s="2695">
        <f t="shared" si="42"/>
        <v>211.32953905659235</v>
      </c>
      <c r="G33" s="3735">
        <v>2011</v>
      </c>
      <c r="H33" s="2685">
        <v>1</v>
      </c>
      <c r="I33" s="2685">
        <v>2.65</v>
      </c>
      <c r="J33" s="2685">
        <v>3.76</v>
      </c>
      <c r="K33" s="2685">
        <v>1.89</v>
      </c>
      <c r="L33" s="2696">
        <v>7.95</v>
      </c>
      <c r="N33" s="2698">
        <f t="shared" si="31"/>
        <v>2.6499999999999999E-2</v>
      </c>
      <c r="O33" s="2699">
        <f t="shared" si="31"/>
        <v>3.7599999999999995E-2</v>
      </c>
      <c r="P33" s="2699">
        <f t="shared" si="31"/>
        <v>1.89E-2</v>
      </c>
      <c r="Q33" s="2699">
        <f t="shared" si="31"/>
        <v>7.9500000000000001E-2</v>
      </c>
      <c r="R33" s="2692"/>
      <c r="S33" s="2698">
        <f>B33/B34-1</f>
        <v>2.713213765211786E-2</v>
      </c>
      <c r="T33" s="2699">
        <f>C33/C34-1</f>
        <v>3.9774828499231862E-2</v>
      </c>
      <c r="U33" s="2699">
        <f>E33/E34-1</f>
        <v>1.8197311840641772E-2</v>
      </c>
      <c r="V33" s="2699">
        <f>F33/F34-1</f>
        <v>7.8211933962205826E-2</v>
      </c>
      <c r="X33" s="2700"/>
      <c r="Y33" s="2700"/>
      <c r="Z33" s="2700"/>
    </row>
    <row r="34" spans="1:26" ht="13.5" thickBot="1">
      <c r="A34" s="2681" t="s">
        <v>2602</v>
      </c>
      <c r="B34" s="2687">
        <v>269</v>
      </c>
      <c r="C34" s="2687">
        <v>221</v>
      </c>
      <c r="D34" s="2687">
        <f t="shared" si="29"/>
        <v>221</v>
      </c>
      <c r="E34" s="2687">
        <v>373</v>
      </c>
      <c r="F34" s="2688">
        <v>196</v>
      </c>
      <c r="G34" s="3733">
        <v>2010</v>
      </c>
      <c r="H34" s="2701">
        <v>4</v>
      </c>
      <c r="I34" s="2701">
        <v>5.72</v>
      </c>
      <c r="J34" s="2701">
        <v>6.57</v>
      </c>
      <c r="K34" s="2701">
        <v>5.72</v>
      </c>
      <c r="L34" s="2702">
        <v>2.72</v>
      </c>
      <c r="N34" s="2690">
        <f t="shared" si="31"/>
        <v>5.7200000000000001E-2</v>
      </c>
      <c r="O34" s="2691">
        <f t="shared" si="31"/>
        <v>6.5700000000000008E-2</v>
      </c>
      <c r="P34" s="2691">
        <f t="shared" si="31"/>
        <v>5.7200000000000001E-2</v>
      </c>
      <c r="Q34" s="2691">
        <f t="shared" si="31"/>
        <v>2.7200000000000002E-2</v>
      </c>
      <c r="R34" s="2692"/>
      <c r="S34" s="2693"/>
      <c r="T34" s="2694"/>
      <c r="U34" s="2694"/>
      <c r="V34" s="2694"/>
      <c r="X34" s="2694"/>
      <c r="Y34" s="2694"/>
      <c r="Z34" s="2694"/>
    </row>
    <row r="35" spans="1:26">
      <c r="A35" s="2681" t="s">
        <v>2603</v>
      </c>
      <c r="B35" s="2695">
        <f t="shared" ref="B35:C37" si="43">B34/(1+N34)</f>
        <v>254.44570563753314</v>
      </c>
      <c r="C35" s="2695">
        <f t="shared" si="43"/>
        <v>207.37543398705074</v>
      </c>
      <c r="D35" s="2695">
        <f t="shared" si="29"/>
        <v>207.37543398705074</v>
      </c>
      <c r="E35" s="2695">
        <f t="shared" ref="E35:F37" si="44">E34/(1+P34)</f>
        <v>352.81876655315932</v>
      </c>
      <c r="F35" s="2695">
        <f t="shared" si="44"/>
        <v>190.809968847352</v>
      </c>
      <c r="G35" s="3734">
        <v>2010</v>
      </c>
      <c r="H35" s="2706">
        <v>3</v>
      </c>
      <c r="I35" s="2706">
        <v>4.7300000000000004</v>
      </c>
      <c r="J35" s="2706">
        <v>3.9</v>
      </c>
      <c r="K35" s="2706">
        <v>5.03</v>
      </c>
      <c r="L35" s="2707">
        <v>4.21</v>
      </c>
      <c r="N35" s="2690">
        <f t="shared" si="31"/>
        <v>4.7300000000000002E-2</v>
      </c>
      <c r="O35" s="2691">
        <f t="shared" si="31"/>
        <v>3.9E-2</v>
      </c>
      <c r="P35" s="2691">
        <f t="shared" si="31"/>
        <v>5.0300000000000004E-2</v>
      </c>
      <c r="Q35" s="2691">
        <f t="shared" si="31"/>
        <v>4.2099999999999999E-2</v>
      </c>
      <c r="R35" s="2692"/>
      <c r="S35" s="2690"/>
      <c r="T35" s="2691"/>
      <c r="U35" s="2691"/>
      <c r="V35" s="2691"/>
    </row>
    <row r="36" spans="1:26">
      <c r="A36" s="2681" t="s">
        <v>2604</v>
      </c>
      <c r="B36" s="2695">
        <f t="shared" si="43"/>
        <v>242.95398227588385</v>
      </c>
      <c r="C36" s="2695">
        <f t="shared" si="43"/>
        <v>199.59137053614126</v>
      </c>
      <c r="D36" s="2695">
        <f t="shared" si="29"/>
        <v>199.59137053614126</v>
      </c>
      <c r="E36" s="2695">
        <f t="shared" si="44"/>
        <v>335.92189522342125</v>
      </c>
      <c r="F36" s="2695">
        <f t="shared" si="44"/>
        <v>183.10139991109489</v>
      </c>
      <c r="G36" s="3734">
        <v>2010</v>
      </c>
      <c r="H36" s="2686">
        <v>2</v>
      </c>
      <c r="I36" s="2686">
        <v>4.6900000000000004</v>
      </c>
      <c r="J36" s="2686">
        <v>3.55</v>
      </c>
      <c r="K36" s="2686">
        <v>5.07</v>
      </c>
      <c r="L36" s="2697">
        <v>4.2300000000000004</v>
      </c>
      <c r="N36" s="2690">
        <f t="shared" si="31"/>
        <v>4.6900000000000004E-2</v>
      </c>
      <c r="O36" s="2691">
        <f t="shared" si="31"/>
        <v>3.5499999999999997E-2</v>
      </c>
      <c r="P36" s="2691">
        <f t="shared" si="31"/>
        <v>5.0700000000000002E-2</v>
      </c>
      <c r="Q36" s="2691">
        <f t="shared" si="31"/>
        <v>4.2300000000000004E-2</v>
      </c>
      <c r="R36" s="2692"/>
      <c r="S36" s="2690"/>
      <c r="T36" s="2691"/>
      <c r="U36" s="2691"/>
      <c r="V36" s="2691"/>
    </row>
    <row r="37" spans="1:26" ht="13.5" thickBot="1">
      <c r="A37" s="2681" t="s">
        <v>2605</v>
      </c>
      <c r="B37" s="2695">
        <f t="shared" si="43"/>
        <v>232.06990378821649</v>
      </c>
      <c r="C37" s="2695">
        <f t="shared" si="43"/>
        <v>192.74878854286936</v>
      </c>
      <c r="D37" s="2695">
        <f t="shared" si="29"/>
        <v>192.74878854286936</v>
      </c>
      <c r="E37" s="2695">
        <f t="shared" si="44"/>
        <v>319.71247284992984</v>
      </c>
      <c r="F37" s="2695">
        <f t="shared" si="44"/>
        <v>175.67053622862409</v>
      </c>
      <c r="G37" s="3735">
        <v>2010</v>
      </c>
      <c r="H37" s="2685">
        <v>1</v>
      </c>
      <c r="I37" s="2685">
        <v>5.4</v>
      </c>
      <c r="J37" s="2685">
        <v>3.2</v>
      </c>
      <c r="K37" s="2685">
        <v>6.16</v>
      </c>
      <c r="L37" s="2696">
        <v>4.51</v>
      </c>
      <c r="N37" s="2690">
        <f t="shared" si="31"/>
        <v>5.4000000000000006E-2</v>
      </c>
      <c r="O37" s="2691">
        <f t="shared" si="31"/>
        <v>3.2000000000000001E-2</v>
      </c>
      <c r="P37" s="2691">
        <f t="shared" si="31"/>
        <v>6.1600000000000002E-2</v>
      </c>
      <c r="Q37" s="2691">
        <f t="shared" si="31"/>
        <v>4.5100000000000001E-2</v>
      </c>
      <c r="R37" s="2692"/>
      <c r="S37" s="2698">
        <f>B37/B38-1</f>
        <v>5.4863199037347599E-2</v>
      </c>
      <c r="T37" s="2699">
        <f>C37/C38-1</f>
        <v>3.0742184721226584E-2</v>
      </c>
      <c r="U37" s="2699">
        <f>E37/E38-1</f>
        <v>6.2167683886810154E-2</v>
      </c>
      <c r="V37" s="2699">
        <f>F37/F38-1</f>
        <v>4.5657953741810031E-2</v>
      </c>
      <c r="X37" s="2700"/>
      <c r="Y37" s="2700"/>
      <c r="Z37" s="2700"/>
    </row>
    <row r="38" spans="1:26" ht="13.5" thickBot="1">
      <c r="A38" s="2681" t="s">
        <v>2606</v>
      </c>
      <c r="B38" s="2687">
        <v>220</v>
      </c>
      <c r="C38" s="2687">
        <v>187</v>
      </c>
      <c r="D38" s="2687">
        <f t="shared" si="29"/>
        <v>187</v>
      </c>
      <c r="E38" s="2687">
        <v>301</v>
      </c>
      <c r="F38" s="2688">
        <v>168</v>
      </c>
      <c r="G38" s="3733">
        <v>2009</v>
      </c>
      <c r="H38" s="2701">
        <v>4</v>
      </c>
      <c r="I38" s="2701">
        <v>2.2999999999999998</v>
      </c>
      <c r="J38" s="2701">
        <v>1.04</v>
      </c>
      <c r="K38" s="2701">
        <v>2.84</v>
      </c>
      <c r="L38" s="2702">
        <v>0.67</v>
      </c>
      <c r="N38" s="2703">
        <f t="shared" si="31"/>
        <v>2.3E-2</v>
      </c>
      <c r="O38" s="2704">
        <f t="shared" si="31"/>
        <v>1.04E-2</v>
      </c>
      <c r="P38" s="2704">
        <f t="shared" si="31"/>
        <v>2.8399999999999998E-2</v>
      </c>
      <c r="Q38" s="2704">
        <f t="shared" si="31"/>
        <v>6.7000000000000002E-3</v>
      </c>
      <c r="R38" s="2692"/>
      <c r="S38" s="2693"/>
      <c r="T38" s="2694"/>
      <c r="U38" s="2694"/>
      <c r="V38" s="2694"/>
      <c r="X38" s="2694"/>
      <c r="Y38" s="2694"/>
      <c r="Z38" s="2694"/>
    </row>
    <row r="39" spans="1:26">
      <c r="A39" s="2681" t="s">
        <v>2607</v>
      </c>
      <c r="B39" s="2695">
        <f t="shared" ref="B39:C41" si="45">B38/(1+N38)</f>
        <v>215.05376344086022</v>
      </c>
      <c r="C39" s="2695">
        <f t="shared" si="45"/>
        <v>185.0752177355503</v>
      </c>
      <c r="D39" s="2695">
        <f t="shared" si="29"/>
        <v>185.0752177355503</v>
      </c>
      <c r="E39" s="2695">
        <f t="shared" ref="E39:F41" si="46">E38/(1+P38)</f>
        <v>292.68767016725008</v>
      </c>
      <c r="F39" s="2695">
        <f t="shared" si="46"/>
        <v>166.88189132810174</v>
      </c>
      <c r="G39" s="3734">
        <v>2009</v>
      </c>
      <c r="H39" s="2706">
        <v>3</v>
      </c>
      <c r="I39" s="2706">
        <v>2.1</v>
      </c>
      <c r="J39" s="2706">
        <v>1.86</v>
      </c>
      <c r="K39" s="2706">
        <v>2.29</v>
      </c>
      <c r="L39" s="2707">
        <v>0.85</v>
      </c>
      <c r="N39" s="2690">
        <f t="shared" si="31"/>
        <v>2.1000000000000001E-2</v>
      </c>
      <c r="O39" s="2708">
        <f t="shared" si="31"/>
        <v>1.8600000000000002E-2</v>
      </c>
      <c r="P39" s="2708">
        <f t="shared" si="31"/>
        <v>2.29E-2</v>
      </c>
      <c r="Q39" s="2708">
        <f t="shared" si="31"/>
        <v>8.5000000000000006E-3</v>
      </c>
      <c r="R39" s="2692"/>
      <c r="S39" s="2690"/>
      <c r="T39" s="2691"/>
      <c r="U39" s="2691"/>
      <c r="V39" s="2691"/>
    </row>
    <row r="40" spans="1:26">
      <c r="A40" s="2681" t="s">
        <v>2608</v>
      </c>
      <c r="B40" s="2695">
        <f t="shared" si="45"/>
        <v>210.630522469011</v>
      </c>
      <c r="C40" s="2695">
        <f t="shared" si="45"/>
        <v>181.69567812247232</v>
      </c>
      <c r="D40" s="2695">
        <f t="shared" si="29"/>
        <v>181.69567812247232</v>
      </c>
      <c r="E40" s="2695">
        <f t="shared" si="46"/>
        <v>286.13517466736738</v>
      </c>
      <c r="F40" s="2695">
        <f t="shared" si="46"/>
        <v>165.47535084591149</v>
      </c>
      <c r="G40" s="3734">
        <v>2009</v>
      </c>
      <c r="H40" s="2686">
        <v>2</v>
      </c>
      <c r="I40" s="2686">
        <v>0.86</v>
      </c>
      <c r="J40" s="2686">
        <v>-1.1299999999999999</v>
      </c>
      <c r="K40" s="2686">
        <v>1.79</v>
      </c>
      <c r="L40" s="2697">
        <v>-2.0699999999999998</v>
      </c>
      <c r="N40" s="2690">
        <f t="shared" si="31"/>
        <v>8.6E-3</v>
      </c>
      <c r="O40" s="2708">
        <f t="shared" si="31"/>
        <v>-1.1299999999999999E-2</v>
      </c>
      <c r="P40" s="2708">
        <f t="shared" si="31"/>
        <v>1.7899999999999999E-2</v>
      </c>
      <c r="Q40" s="2708">
        <f t="shared" si="31"/>
        <v>-2.07E-2</v>
      </c>
      <c r="R40" s="2692"/>
      <c r="S40" s="2690"/>
      <c r="T40" s="2691"/>
      <c r="U40" s="2691"/>
      <c r="V40" s="2691"/>
    </row>
    <row r="41" spans="1:26">
      <c r="A41" s="2681" t="s">
        <v>2609</v>
      </c>
      <c r="B41" s="2695">
        <f t="shared" si="45"/>
        <v>208.83454537875372</v>
      </c>
      <c r="C41" s="2695">
        <f t="shared" si="45"/>
        <v>183.77230517090351</v>
      </c>
      <c r="D41" s="2695">
        <f t="shared" si="29"/>
        <v>183.77230517090351</v>
      </c>
      <c r="E41" s="2695">
        <f t="shared" si="46"/>
        <v>281.10342338870947</v>
      </c>
      <c r="F41" s="2695">
        <f t="shared" si="46"/>
        <v>168.97309388942256</v>
      </c>
      <c r="G41" s="3735">
        <v>2009</v>
      </c>
      <c r="H41" s="2685">
        <v>1</v>
      </c>
      <c r="I41" s="2685">
        <v>-2.64</v>
      </c>
      <c r="J41" s="2685">
        <v>-2.5299999999999998</v>
      </c>
      <c r="K41" s="2685">
        <v>-3.02</v>
      </c>
      <c r="L41" s="2696">
        <v>1.52</v>
      </c>
      <c r="N41" s="2698">
        <f t="shared" si="31"/>
        <v>-2.64E-2</v>
      </c>
      <c r="O41" s="2699">
        <f t="shared" si="31"/>
        <v>-2.53E-2</v>
      </c>
      <c r="P41" s="2699">
        <f t="shared" si="31"/>
        <v>-3.0200000000000001E-2</v>
      </c>
      <c r="Q41" s="2699">
        <f t="shared" si="31"/>
        <v>1.52E-2</v>
      </c>
      <c r="R41" s="2692"/>
      <c r="S41" s="2698">
        <f>B41/B42-1</f>
        <v>-2.4137638417038754E-2</v>
      </c>
      <c r="T41" s="2699">
        <f>C41/C42-1</f>
        <v>-2.248773845264096E-2</v>
      </c>
      <c r="U41" s="2699">
        <f>E41/E42-1</f>
        <v>-2.7323794502735366E-2</v>
      </c>
      <c r="V41" s="2699">
        <f>F41/F42-1</f>
        <v>1.7910204153148035E-2</v>
      </c>
      <c r="X41" s="2700"/>
      <c r="Y41" s="2700"/>
      <c r="Z41" s="2700"/>
    </row>
    <row r="42" spans="1:26" ht="13.5" thickBot="1">
      <c r="A42" s="2681" t="s">
        <v>2610</v>
      </c>
      <c r="B42" s="2725">
        <v>214</v>
      </c>
      <c r="C42" s="2725">
        <v>188</v>
      </c>
      <c r="D42" s="2725">
        <f t="shared" si="29"/>
        <v>188</v>
      </c>
      <c r="E42" s="2725">
        <v>289</v>
      </c>
      <c r="F42" s="2726">
        <v>166</v>
      </c>
      <c r="G42" s="3733">
        <v>2008</v>
      </c>
      <c r="H42" s="2701">
        <v>4</v>
      </c>
      <c r="I42" s="2701">
        <v>1.73</v>
      </c>
      <c r="J42" s="2701">
        <v>0.03</v>
      </c>
      <c r="K42" s="2701">
        <v>2.59</v>
      </c>
      <c r="L42" s="2702">
        <v>-1.66</v>
      </c>
      <c r="N42" s="2690">
        <f t="shared" si="31"/>
        <v>1.7299999999999999E-2</v>
      </c>
      <c r="O42" s="2691">
        <f t="shared" si="31"/>
        <v>2.9999999999999997E-4</v>
      </c>
      <c r="P42" s="2691">
        <f t="shared" si="31"/>
        <v>2.5899999999999999E-2</v>
      </c>
      <c r="Q42" s="2691">
        <f t="shared" si="31"/>
        <v>-1.66E-2</v>
      </c>
      <c r="R42" s="2692"/>
      <c r="S42" s="2693"/>
      <c r="T42" s="2694"/>
      <c r="U42" s="2694"/>
      <c r="V42" s="2694"/>
      <c r="X42" s="2694"/>
      <c r="Y42" s="2694"/>
      <c r="Z42" s="2694"/>
    </row>
    <row r="43" spans="1:26">
      <c r="A43" s="2681" t="s">
        <v>2611</v>
      </c>
      <c r="B43" s="2695">
        <f t="shared" ref="B43:C45" si="47">B42/(1+N42)</f>
        <v>210.36075887152265</v>
      </c>
      <c r="C43" s="2695">
        <f t="shared" si="47"/>
        <v>187.94361691492554</v>
      </c>
      <c r="D43" s="2695">
        <f t="shared" si="29"/>
        <v>187.94361691492554</v>
      </c>
      <c r="E43" s="2695">
        <f t="shared" ref="E43:F45" si="48">E42/(1+P42)</f>
        <v>281.70386977288234</v>
      </c>
      <c r="F43" s="2695">
        <f t="shared" si="48"/>
        <v>168.80211511083994</v>
      </c>
      <c r="G43" s="3734">
        <v>2008</v>
      </c>
      <c r="H43" s="2706">
        <v>3</v>
      </c>
      <c r="I43" s="2706">
        <v>1.96</v>
      </c>
      <c r="J43" s="2706">
        <v>2.36</v>
      </c>
      <c r="K43" s="2706">
        <v>1.82</v>
      </c>
      <c r="L43" s="2707">
        <v>2.2200000000000002</v>
      </c>
      <c r="N43" s="2690">
        <f t="shared" si="31"/>
        <v>1.9599999999999999E-2</v>
      </c>
      <c r="O43" s="2691">
        <f t="shared" si="31"/>
        <v>2.3599999999999999E-2</v>
      </c>
      <c r="P43" s="2691">
        <f t="shared" si="31"/>
        <v>1.8200000000000001E-2</v>
      </c>
      <c r="Q43" s="2691">
        <f t="shared" si="31"/>
        <v>2.2200000000000001E-2</v>
      </c>
      <c r="R43" s="2692"/>
      <c r="S43" s="2690"/>
      <c r="T43" s="2691"/>
      <c r="U43" s="2691"/>
      <c r="V43" s="2691"/>
    </row>
    <row r="44" spans="1:26">
      <c r="A44" s="2681" t="s">
        <v>2612</v>
      </c>
      <c r="B44" s="2695">
        <f t="shared" si="47"/>
        <v>206.31694671589116</v>
      </c>
      <c r="C44" s="2695">
        <f t="shared" si="47"/>
        <v>183.61041121036101</v>
      </c>
      <c r="D44" s="2695">
        <f t="shared" si="29"/>
        <v>183.61041121036101</v>
      </c>
      <c r="E44" s="2695">
        <f t="shared" si="48"/>
        <v>276.66850301795557</v>
      </c>
      <c r="F44" s="2695">
        <f t="shared" si="48"/>
        <v>165.1360938278614</v>
      </c>
      <c r="G44" s="3734">
        <v>2008</v>
      </c>
      <c r="H44" s="2686">
        <v>2</v>
      </c>
      <c r="I44" s="2686">
        <v>4.93</v>
      </c>
      <c r="J44" s="2686">
        <v>7.38</v>
      </c>
      <c r="K44" s="2686">
        <v>3.98</v>
      </c>
      <c r="L44" s="2697">
        <v>6.86</v>
      </c>
      <c r="N44" s="2690">
        <f t="shared" si="31"/>
        <v>4.9299999999999997E-2</v>
      </c>
      <c r="O44" s="2691">
        <f t="shared" si="31"/>
        <v>7.3800000000000004E-2</v>
      </c>
      <c r="P44" s="2691">
        <f t="shared" si="31"/>
        <v>3.9800000000000002E-2</v>
      </c>
      <c r="Q44" s="2691">
        <f t="shared" si="31"/>
        <v>6.8600000000000008E-2</v>
      </c>
      <c r="R44" s="2692"/>
      <c r="S44" s="2690"/>
      <c r="T44" s="2691"/>
      <c r="U44" s="2691"/>
      <c r="V44" s="2691"/>
    </row>
    <row r="45" spans="1:26" s="2731" customFormat="1" ht="13.5" thickBot="1">
      <c r="A45" s="2681" t="s">
        <v>2613</v>
      </c>
      <c r="B45" s="2728">
        <f t="shared" si="47"/>
        <v>196.62341248059772</v>
      </c>
      <c r="C45" s="2728">
        <f t="shared" si="47"/>
        <v>170.99125648199012</v>
      </c>
      <c r="D45" s="2728">
        <f t="shared" si="29"/>
        <v>170.99125648199012</v>
      </c>
      <c r="E45" s="2728">
        <f t="shared" si="48"/>
        <v>266.07857570490052</v>
      </c>
      <c r="F45" s="2728">
        <f t="shared" si="48"/>
        <v>154.53499328828505</v>
      </c>
      <c r="G45" s="3735">
        <v>2008</v>
      </c>
      <c r="H45" s="2729">
        <v>1</v>
      </c>
      <c r="I45" s="2729">
        <v>4.1399999999999997</v>
      </c>
      <c r="J45" s="2729">
        <v>3.45</v>
      </c>
      <c r="K45" s="2729">
        <v>4.95</v>
      </c>
      <c r="L45" s="2730">
        <v>4.82</v>
      </c>
      <c r="N45" s="2732">
        <f t="shared" si="31"/>
        <v>4.1399999999999999E-2</v>
      </c>
      <c r="O45" s="2733">
        <f t="shared" si="31"/>
        <v>3.4500000000000003E-2</v>
      </c>
      <c r="P45" s="2733">
        <f t="shared" si="31"/>
        <v>4.9500000000000002E-2</v>
      </c>
      <c r="Q45" s="2733">
        <f t="shared" si="31"/>
        <v>4.82E-2</v>
      </c>
      <c r="R45" s="2734"/>
      <c r="S45" s="2732">
        <f>B45/B46-1</f>
        <v>4.5869215322328349E-2</v>
      </c>
      <c r="T45" s="2733">
        <f>C45/C46-1</f>
        <v>3.6310645345394743E-2</v>
      </c>
      <c r="U45" s="2733">
        <f>E45/E46-1</f>
        <v>4.7553447657088688E-2</v>
      </c>
      <c r="V45" s="2733">
        <f>F45/F46-1</f>
        <v>4.4155360055980086E-2</v>
      </c>
      <c r="X45" s="2735"/>
      <c r="Y45" s="2735"/>
      <c r="Z45" s="2735"/>
    </row>
    <row r="46" spans="1:26" ht="13.5" thickBot="1">
      <c r="A46" s="2681" t="s">
        <v>2614</v>
      </c>
      <c r="B46" s="2687">
        <v>188</v>
      </c>
      <c r="C46" s="2687">
        <v>165</v>
      </c>
      <c r="D46" s="2687">
        <f t="shared" si="29"/>
        <v>165</v>
      </c>
      <c r="E46" s="2687">
        <v>254</v>
      </c>
      <c r="F46" s="2688">
        <v>148</v>
      </c>
      <c r="G46" s="3733">
        <v>2007</v>
      </c>
      <c r="H46" s="2736">
        <v>4</v>
      </c>
      <c r="I46" s="2736">
        <v>5.51</v>
      </c>
      <c r="J46" s="2736">
        <v>4.8899999999999997</v>
      </c>
      <c r="K46" s="2736">
        <v>6.43</v>
      </c>
      <c r="L46" s="2737">
        <v>5.36</v>
      </c>
      <c r="N46" s="2738">
        <f t="shared" ref="N46:O49" si="49">B46/B47-1</f>
        <v>4.1339718365245526E-2</v>
      </c>
      <c r="O46" s="2739">
        <f t="shared" si="49"/>
        <v>4.0324492593776018E-2</v>
      </c>
      <c r="P46" s="2739">
        <f t="shared" ref="P46:Q49" si="50">E46/E47-1</f>
        <v>6.1625555347990968E-2</v>
      </c>
      <c r="Q46" s="2739">
        <f t="shared" si="50"/>
        <v>4.6757569250590603E-2</v>
      </c>
      <c r="R46" s="2692"/>
      <c r="S46" s="2693"/>
      <c r="T46" s="2694"/>
      <c r="U46" s="2694"/>
      <c r="V46" s="2694"/>
      <c r="X46" s="2694"/>
      <c r="Y46" s="2694"/>
      <c r="Z46" s="2694"/>
    </row>
    <row r="47" spans="1:26">
      <c r="A47" s="2681" t="s">
        <v>2615</v>
      </c>
      <c r="B47" s="2695">
        <f t="shared" ref="B47:C49" si="51">B48+(B$46-B$50)*I47/SUM(I$46:I$49)</f>
        <v>180.5366651097618</v>
      </c>
      <c r="C47" s="2695">
        <f t="shared" si="51"/>
        <v>158.60435967302453</v>
      </c>
      <c r="D47" s="2695">
        <f t="shared" si="29"/>
        <v>158.60435967302453</v>
      </c>
      <c r="E47" s="2695">
        <f t="shared" ref="E47:F49" si="52">E48+(E$46-E$50)*K47/SUM(K$46:K$49)</f>
        <v>239.25573260785075</v>
      </c>
      <c r="F47" s="2695">
        <f t="shared" si="52"/>
        <v>141.38899430740037</v>
      </c>
      <c r="G47" s="3734">
        <v>2007</v>
      </c>
      <c r="H47" s="2706">
        <v>3</v>
      </c>
      <c r="I47" s="2706">
        <v>8.65</v>
      </c>
      <c r="J47" s="2706">
        <v>8.06</v>
      </c>
      <c r="K47" s="2706">
        <v>9.94</v>
      </c>
      <c r="L47" s="2707">
        <v>5.8</v>
      </c>
      <c r="N47" s="2738">
        <f t="shared" si="49"/>
        <v>6.940217571740015E-2</v>
      </c>
      <c r="O47" s="2739">
        <f t="shared" si="49"/>
        <v>7.1197482471153428E-2</v>
      </c>
      <c r="P47" s="2739">
        <f t="shared" si="50"/>
        <v>0.10529679922579582</v>
      </c>
      <c r="Q47" s="2739">
        <f t="shared" si="50"/>
        <v>5.3292245059512133E-2</v>
      </c>
      <c r="R47" s="2692"/>
      <c r="S47" s="2690"/>
      <c r="T47" s="2691"/>
      <c r="U47" s="2691"/>
      <c r="V47" s="2691"/>
      <c r="X47" s="2740"/>
      <c r="Y47" s="2740"/>
      <c r="Z47" s="2740"/>
    </row>
    <row r="48" spans="1:26">
      <c r="A48" s="2681" t="s">
        <v>2616</v>
      </c>
      <c r="B48" s="2695">
        <f t="shared" si="51"/>
        <v>168.82017748715555</v>
      </c>
      <c r="C48" s="2695">
        <f t="shared" si="51"/>
        <v>148.06267029972753</v>
      </c>
      <c r="D48" s="2695">
        <f t="shared" si="29"/>
        <v>148.06267029972753</v>
      </c>
      <c r="E48" s="2695">
        <f t="shared" si="52"/>
        <v>216.46288379323747</v>
      </c>
      <c r="F48" s="2695">
        <f t="shared" si="52"/>
        <v>134.23529411764704</v>
      </c>
      <c r="G48" s="3734">
        <v>2007</v>
      </c>
      <c r="H48" s="2686">
        <v>2</v>
      </c>
      <c r="I48" s="2686">
        <v>3.67</v>
      </c>
      <c r="J48" s="2686">
        <v>2.3199999999999998</v>
      </c>
      <c r="K48" s="2686">
        <v>5.0199999999999996</v>
      </c>
      <c r="L48" s="2697">
        <v>6.71</v>
      </c>
      <c r="N48" s="2738">
        <f t="shared" si="49"/>
        <v>3.0339138143848032E-2</v>
      </c>
      <c r="O48" s="2739">
        <f t="shared" si="49"/>
        <v>2.0922341588790472E-2</v>
      </c>
      <c r="P48" s="2739">
        <f t="shared" si="50"/>
        <v>5.6164796592717003E-2</v>
      </c>
      <c r="Q48" s="2739">
        <f t="shared" si="50"/>
        <v>6.5704536723887319E-2</v>
      </c>
      <c r="R48" s="2692"/>
      <c r="S48" s="2690"/>
      <c r="T48" s="2691"/>
      <c r="U48" s="2691"/>
      <c r="V48" s="2691"/>
      <c r="X48" s="2740"/>
      <c r="Y48" s="2740"/>
      <c r="Z48" s="2740"/>
    </row>
    <row r="49" spans="1:26">
      <c r="A49" s="2681" t="s">
        <v>2617</v>
      </c>
      <c r="B49" s="2695">
        <f t="shared" si="51"/>
        <v>163.84913591779542</v>
      </c>
      <c r="C49" s="2695">
        <f t="shared" si="51"/>
        <v>145.0283378746594</v>
      </c>
      <c r="D49" s="2695">
        <f t="shared" si="29"/>
        <v>145.0283378746594</v>
      </c>
      <c r="E49" s="2695">
        <f t="shared" si="52"/>
        <v>204.95180722891567</v>
      </c>
      <c r="F49" s="2695">
        <f t="shared" si="52"/>
        <v>125.95920303605313</v>
      </c>
      <c r="G49" s="3735">
        <v>2007</v>
      </c>
      <c r="H49" s="2685">
        <v>1</v>
      </c>
      <c r="I49" s="2685">
        <v>3.58</v>
      </c>
      <c r="J49" s="2685">
        <v>3.08</v>
      </c>
      <c r="K49" s="2685">
        <v>4.34</v>
      </c>
      <c r="L49" s="2696">
        <v>3.21</v>
      </c>
      <c r="N49" s="2741">
        <f t="shared" si="49"/>
        <v>3.0497710174814063E-2</v>
      </c>
      <c r="O49" s="2742">
        <f t="shared" si="49"/>
        <v>2.8569772160704998E-2</v>
      </c>
      <c r="P49" s="2742">
        <f t="shared" si="50"/>
        <v>5.1034908866234296E-2</v>
      </c>
      <c r="Q49" s="2742">
        <f t="shared" si="50"/>
        <v>3.245248390207478E-2</v>
      </c>
      <c r="R49" s="2692"/>
      <c r="S49" s="2698">
        <f>B49/B50-1</f>
        <v>3.0497710174814063E-2</v>
      </c>
      <c r="T49" s="2699">
        <f>C49/C50-1</f>
        <v>2.8569772160704998E-2</v>
      </c>
      <c r="U49" s="2699">
        <f>E49/E50-1</f>
        <v>5.1034908866234296E-2</v>
      </c>
      <c r="V49" s="2699">
        <f>F49/F50-1</f>
        <v>3.245248390207478E-2</v>
      </c>
      <c r="X49" s="2740"/>
      <c r="Y49" s="2740"/>
      <c r="Z49" s="2740"/>
    </row>
    <row r="50" spans="1:26" ht="13.5" thickBot="1">
      <c r="A50" s="2681" t="s">
        <v>2618</v>
      </c>
      <c r="B50" s="2709">
        <v>159</v>
      </c>
      <c r="C50" s="2709">
        <v>141</v>
      </c>
      <c r="D50" s="2709">
        <f t="shared" si="29"/>
        <v>141</v>
      </c>
      <c r="E50" s="2709">
        <v>195</v>
      </c>
      <c r="F50" s="2710">
        <v>122</v>
      </c>
      <c r="G50" s="3733">
        <v>2006</v>
      </c>
      <c r="H50" s="2701">
        <v>4</v>
      </c>
      <c r="I50" s="2701">
        <v>3.79</v>
      </c>
      <c r="J50" s="2701">
        <v>2.21</v>
      </c>
      <c r="K50" s="2701">
        <v>5.65</v>
      </c>
      <c r="L50" s="2702">
        <v>5.41</v>
      </c>
      <c r="N50" s="2738">
        <f t="shared" ref="N50:O53" si="53">I50/SUM(I$50:I$53)*(B$50/B$54-1)</f>
        <v>7.245466462748526E-2</v>
      </c>
      <c r="O50" s="2739">
        <f t="shared" si="53"/>
        <v>2.3237230038062766E-2</v>
      </c>
      <c r="P50" s="2739">
        <f t="shared" ref="P50:Q53" si="54">K50/SUM(K$50:K$53)*(E$50/E$54-1)</f>
        <v>0.16146893866323722</v>
      </c>
      <c r="Q50" s="2739">
        <f t="shared" si="54"/>
        <v>5.0755230321793784E-2</v>
      </c>
      <c r="R50" s="2692"/>
      <c r="S50" s="2693"/>
      <c r="T50" s="2694"/>
      <c r="U50" s="2694"/>
      <c r="V50" s="2694"/>
      <c r="X50" s="2740"/>
      <c r="Y50" s="2740"/>
      <c r="Z50" s="2740"/>
    </row>
    <row r="51" spans="1:26">
      <c r="A51" s="2681" t="s">
        <v>2619</v>
      </c>
      <c r="B51" s="2695">
        <f t="shared" ref="B51:C53" si="55">B52+(B$50-B$54)*I51/SUM(I$50:I$53)</f>
        <v>149.00125628140702</v>
      </c>
      <c r="C51" s="2695">
        <f t="shared" si="55"/>
        <v>137.95592286501378</v>
      </c>
      <c r="D51" s="2695">
        <f t="shared" si="29"/>
        <v>137.95592286501378</v>
      </c>
      <c r="E51" s="2695">
        <f t="shared" ref="E51:F53" si="56">E52+(E$50-E$54)*K51/SUM(K$50:K$53)</f>
        <v>169.97231450719823</v>
      </c>
      <c r="F51" s="2695">
        <f t="shared" si="56"/>
        <v>116.21390374331551</v>
      </c>
      <c r="G51" s="3734">
        <v>2006</v>
      </c>
      <c r="H51" s="2706">
        <v>3</v>
      </c>
      <c r="I51" s="2706">
        <v>0.92</v>
      </c>
      <c r="J51" s="2706">
        <v>1.08</v>
      </c>
      <c r="K51" s="2706">
        <v>0.73</v>
      </c>
      <c r="L51" s="2707">
        <v>1.08</v>
      </c>
      <c r="N51" s="2738">
        <f t="shared" si="53"/>
        <v>1.7587939698492462E-2</v>
      </c>
      <c r="O51" s="2739">
        <f t="shared" si="53"/>
        <v>1.1355750425840628E-2</v>
      </c>
      <c r="P51" s="2739">
        <f t="shared" si="54"/>
        <v>2.0862358446754544E-2</v>
      </c>
      <c r="Q51" s="2739">
        <f t="shared" si="54"/>
        <v>1.0132282578103011E-2</v>
      </c>
      <c r="R51" s="2692"/>
      <c r="S51" s="2690"/>
      <c r="T51" s="2691"/>
      <c r="U51" s="2691"/>
      <c r="V51" s="2691"/>
      <c r="X51" s="2740"/>
      <c r="Y51" s="2740"/>
      <c r="Z51" s="2740"/>
    </row>
    <row r="52" spans="1:26">
      <c r="A52" s="2681" t="s">
        <v>2620</v>
      </c>
      <c r="B52" s="2695">
        <f t="shared" si="55"/>
        <v>146.57412060301507</v>
      </c>
      <c r="C52" s="2695">
        <f t="shared" si="55"/>
        <v>136.46831955922866</v>
      </c>
      <c r="D52" s="2695">
        <f t="shared" si="29"/>
        <v>136.46831955922866</v>
      </c>
      <c r="E52" s="2695">
        <f t="shared" si="56"/>
        <v>166.73864894795128</v>
      </c>
      <c r="F52" s="2695">
        <f t="shared" si="56"/>
        <v>115.05882352941177</v>
      </c>
      <c r="G52" s="3734">
        <v>2006</v>
      </c>
      <c r="H52" s="2686">
        <v>2</v>
      </c>
      <c r="I52" s="2686">
        <v>0.96</v>
      </c>
      <c r="J52" s="2686">
        <v>0.25</v>
      </c>
      <c r="K52" s="2686">
        <v>1.9</v>
      </c>
      <c r="L52" s="2697">
        <v>0.95</v>
      </c>
      <c r="N52" s="2738">
        <f t="shared" si="53"/>
        <v>1.8352632728861701E-2</v>
      </c>
      <c r="O52" s="2739">
        <f t="shared" si="53"/>
        <v>2.6286459319075526E-3</v>
      </c>
      <c r="P52" s="2739">
        <f t="shared" si="54"/>
        <v>5.4299289107991269E-2</v>
      </c>
      <c r="Q52" s="2739">
        <f t="shared" si="54"/>
        <v>8.9126559714794995E-3</v>
      </c>
      <c r="R52" s="2692"/>
      <c r="S52" s="2690"/>
      <c r="T52" s="2691"/>
      <c r="U52" s="2691"/>
      <c r="V52" s="2691"/>
      <c r="X52" s="2740"/>
      <c r="Y52" s="2740"/>
      <c r="Z52" s="2740"/>
    </row>
    <row r="53" spans="1:26">
      <c r="A53" s="2681" t="s">
        <v>2621</v>
      </c>
      <c r="B53" s="2695">
        <f t="shared" si="55"/>
        <v>144.04145728643215</v>
      </c>
      <c r="C53" s="2695">
        <f t="shared" si="55"/>
        <v>136.12396694214877</v>
      </c>
      <c r="D53" s="2695">
        <f t="shared" si="29"/>
        <v>136.12396694214877</v>
      </c>
      <c r="E53" s="2695">
        <f t="shared" si="56"/>
        <v>158.32225913621264</v>
      </c>
      <c r="F53" s="2695">
        <f t="shared" si="56"/>
        <v>114.04278074866311</v>
      </c>
      <c r="G53" s="3735">
        <v>2006</v>
      </c>
      <c r="H53" s="2685">
        <v>1</v>
      </c>
      <c r="I53" s="2685">
        <v>2.29</v>
      </c>
      <c r="J53" s="2685">
        <v>3.72</v>
      </c>
      <c r="K53" s="2685">
        <v>0.75</v>
      </c>
      <c r="L53" s="2696">
        <v>0.04</v>
      </c>
      <c r="N53" s="2741">
        <f t="shared" si="53"/>
        <v>4.3778675988638847E-2</v>
      </c>
      <c r="O53" s="2742">
        <f t="shared" si="53"/>
        <v>3.9114251466784385E-2</v>
      </c>
      <c r="P53" s="2742">
        <f t="shared" si="54"/>
        <v>2.1433929911049188E-2</v>
      </c>
      <c r="Q53" s="2742">
        <f t="shared" si="54"/>
        <v>3.7526972511492629E-4</v>
      </c>
      <c r="R53" s="2692"/>
      <c r="S53" s="2698">
        <f>B53/B54-1</f>
        <v>4.3778675988638716E-2</v>
      </c>
      <c r="T53" s="2699">
        <f>C53/C54-1</f>
        <v>3.91142514667846E-2</v>
      </c>
      <c r="U53" s="2699">
        <f>E53/E54-1</f>
        <v>2.143392991104931E-2</v>
      </c>
      <c r="V53" s="2699">
        <f>F53/F54-1</f>
        <v>3.7526972511492396E-4</v>
      </c>
      <c r="X53" s="2740"/>
      <c r="Y53" s="2740"/>
      <c r="Z53" s="2740"/>
    </row>
    <row r="54" spans="1:26" ht="13.5" thickBot="1">
      <c r="A54" s="2681" t="s">
        <v>2622</v>
      </c>
      <c r="B54" s="2709">
        <v>138</v>
      </c>
      <c r="C54" s="2709">
        <v>131</v>
      </c>
      <c r="D54" s="2709">
        <f t="shared" si="29"/>
        <v>131</v>
      </c>
      <c r="E54" s="2709">
        <v>155</v>
      </c>
      <c r="F54" s="2710">
        <v>114</v>
      </c>
      <c r="G54" s="3733">
        <v>2005</v>
      </c>
      <c r="H54" s="2701">
        <v>4</v>
      </c>
      <c r="I54" s="2701">
        <v>3.29</v>
      </c>
      <c r="J54" s="2701">
        <v>1.44</v>
      </c>
      <c r="K54" s="2701">
        <v>0.66</v>
      </c>
      <c r="L54" s="2702">
        <v>7.78</v>
      </c>
      <c r="N54" s="2738">
        <f t="shared" ref="N54:O57" si="57">I54/SUM(I$54:I$57)*(B$54/B$58-1)</f>
        <v>9.9404603216919935E-2</v>
      </c>
      <c r="O54" s="2739">
        <f t="shared" si="57"/>
        <v>4.7636550760861554E-2</v>
      </c>
      <c r="P54" s="2739">
        <f t="shared" ref="P54:Q57" si="58">K54/SUM(K$54:K$57)*(E$54/E$58-1)</f>
        <v>8.3756345177664976E-2</v>
      </c>
      <c r="Q54" s="2739">
        <f t="shared" si="58"/>
        <v>5.2148766661559584E-2</v>
      </c>
      <c r="R54" s="2692"/>
      <c r="S54" s="2693"/>
      <c r="T54" s="2694"/>
      <c r="U54" s="2694"/>
      <c r="V54" s="2694"/>
      <c r="X54" s="2740"/>
      <c r="Y54" s="2740"/>
      <c r="Z54" s="2740"/>
    </row>
    <row r="55" spans="1:26">
      <c r="A55" s="2681" t="s">
        <v>2623</v>
      </c>
      <c r="B55" s="2695">
        <f t="shared" ref="B55:C57" si="59">B56+(B$54-B$58)*I55/SUM(I$54:I$57)</f>
        <v>125.9720430107527</v>
      </c>
      <c r="C55" s="2695">
        <f t="shared" si="59"/>
        <v>125.1883408071749</v>
      </c>
      <c r="D55" s="2695">
        <f t="shared" si="29"/>
        <v>125.1883408071749</v>
      </c>
      <c r="E55" s="2695">
        <f t="shared" ref="E55:F57" si="60">E56+(E$54-E$58)*K55/SUM(K$54:K$57)</f>
        <v>144.61421319796952</v>
      </c>
      <c r="F55" s="2695">
        <f t="shared" si="60"/>
        <v>108.42008196721311</v>
      </c>
      <c r="G55" s="3734">
        <v>2005</v>
      </c>
      <c r="H55" s="2706">
        <v>3</v>
      </c>
      <c r="I55" s="2706">
        <v>0.46</v>
      </c>
      <c r="J55" s="2706">
        <v>0.32</v>
      </c>
      <c r="K55" s="2706">
        <v>0.42</v>
      </c>
      <c r="L55" s="2707">
        <v>0.64</v>
      </c>
      <c r="N55" s="2738">
        <f t="shared" si="57"/>
        <v>1.3898515951301874E-2</v>
      </c>
      <c r="O55" s="2739">
        <f t="shared" si="57"/>
        <v>1.0585900169080346E-2</v>
      </c>
      <c r="P55" s="2739">
        <f t="shared" si="58"/>
        <v>5.3299492385786795E-2</v>
      </c>
      <c r="Q55" s="2739">
        <f t="shared" si="58"/>
        <v>4.2898728359123568E-3</v>
      </c>
      <c r="R55" s="2692"/>
      <c r="S55" s="2690"/>
      <c r="T55" s="2691"/>
      <c r="U55" s="2691"/>
      <c r="V55" s="2691"/>
      <c r="X55" s="2740"/>
      <c r="Y55" s="2740"/>
      <c r="Z55" s="2740"/>
    </row>
    <row r="56" spans="1:26">
      <c r="A56" s="2681" t="s">
        <v>2624</v>
      </c>
      <c r="B56" s="2695">
        <f t="shared" si="59"/>
        <v>124.29032258064517</v>
      </c>
      <c r="C56" s="2695">
        <f t="shared" si="59"/>
        <v>123.8968609865471</v>
      </c>
      <c r="D56" s="2695">
        <f t="shared" si="29"/>
        <v>123.8968609865471</v>
      </c>
      <c r="E56" s="2695">
        <f t="shared" si="60"/>
        <v>138.00507614213197</v>
      </c>
      <c r="F56" s="2695">
        <f t="shared" si="60"/>
        <v>107.96106557377048</v>
      </c>
      <c r="G56" s="3734">
        <v>2005</v>
      </c>
      <c r="H56" s="2686">
        <v>2</v>
      </c>
      <c r="I56" s="2686">
        <v>0.47</v>
      </c>
      <c r="J56" s="2686">
        <v>0.1</v>
      </c>
      <c r="K56" s="2686">
        <v>0.52</v>
      </c>
      <c r="L56" s="2697">
        <v>0.79</v>
      </c>
      <c r="N56" s="2738">
        <f t="shared" si="57"/>
        <v>1.420065760241713E-2</v>
      </c>
      <c r="O56" s="2739">
        <f t="shared" si="57"/>
        <v>3.3080938028376083E-3</v>
      </c>
      <c r="P56" s="2739">
        <f t="shared" si="58"/>
        <v>6.598984771573603E-2</v>
      </c>
      <c r="Q56" s="2739">
        <f t="shared" si="58"/>
        <v>5.2953117818293153E-3</v>
      </c>
      <c r="R56" s="2692"/>
      <c r="S56" s="2690"/>
      <c r="T56" s="2691"/>
      <c r="U56" s="2691"/>
      <c r="V56" s="2691"/>
      <c r="X56" s="2740"/>
      <c r="Y56" s="2740"/>
      <c r="Z56" s="2740"/>
    </row>
    <row r="57" spans="1:26">
      <c r="A57" s="2681" t="s">
        <v>2625</v>
      </c>
      <c r="B57" s="2695">
        <f t="shared" si="59"/>
        <v>122.57204301075269</v>
      </c>
      <c r="C57" s="2695">
        <f t="shared" si="59"/>
        <v>123.4932735426009</v>
      </c>
      <c r="D57" s="2695">
        <f t="shared" si="29"/>
        <v>123.4932735426009</v>
      </c>
      <c r="E57" s="2695">
        <f t="shared" si="60"/>
        <v>129.82233502538071</v>
      </c>
      <c r="F57" s="2695">
        <f t="shared" si="60"/>
        <v>107.39446721311475</v>
      </c>
      <c r="G57" s="3735">
        <v>2005</v>
      </c>
      <c r="H57" s="2685">
        <v>1</v>
      </c>
      <c r="I57" s="2685">
        <v>0.43</v>
      </c>
      <c r="J57" s="2685">
        <v>0.37</v>
      </c>
      <c r="K57" s="2685">
        <v>0.37</v>
      </c>
      <c r="L57" s="2696">
        <v>0.55000000000000004</v>
      </c>
      <c r="N57" s="2741">
        <f t="shared" si="57"/>
        <v>1.2992090997956099E-2</v>
      </c>
      <c r="O57" s="2742">
        <f t="shared" si="57"/>
        <v>1.2239947070499151E-2</v>
      </c>
      <c r="P57" s="2742">
        <f t="shared" si="58"/>
        <v>4.6954314720812178E-2</v>
      </c>
      <c r="Q57" s="2742">
        <f t="shared" si="58"/>
        <v>3.6866094683621815E-3</v>
      </c>
      <c r="R57" s="2692"/>
      <c r="S57" s="2698">
        <f>B57/B58-1</f>
        <v>1.2992090997956174E-2</v>
      </c>
      <c r="T57" s="2699">
        <f>C57/C58-1</f>
        <v>1.2239947070499246E-2</v>
      </c>
      <c r="U57" s="2699">
        <f>E57/E58-1</f>
        <v>4.695431472081224E-2</v>
      </c>
      <c r="V57" s="2699">
        <f>F57/F58-1</f>
        <v>3.6866094683620787E-3</v>
      </c>
      <c r="X57" s="2740"/>
      <c r="Y57" s="2740"/>
      <c r="Z57" s="2740"/>
    </row>
    <row r="58" spans="1:26" ht="13.5" thickBot="1">
      <c r="A58" s="2681" t="s">
        <v>2626</v>
      </c>
      <c r="B58" s="2725">
        <v>121</v>
      </c>
      <c r="C58" s="2725">
        <v>122</v>
      </c>
      <c r="D58" s="2725">
        <f t="shared" si="29"/>
        <v>122</v>
      </c>
      <c r="E58" s="2725">
        <v>124</v>
      </c>
      <c r="F58" s="2726">
        <v>107</v>
      </c>
      <c r="G58" s="3733">
        <v>2004</v>
      </c>
      <c r="H58" s="2701">
        <v>4</v>
      </c>
      <c r="I58" s="2701">
        <v>0.33</v>
      </c>
      <c r="J58" s="2701">
        <v>0.5</v>
      </c>
      <c r="K58" s="2701">
        <v>0.5</v>
      </c>
      <c r="L58" s="2702">
        <v>0</v>
      </c>
      <c r="N58" s="2738">
        <f t="shared" ref="N58:O61" si="61">I58/SUM(I$58:I$61)*(B$58/B$62-1)</f>
        <v>1.3391770148526898E-2</v>
      </c>
      <c r="O58" s="2739">
        <f t="shared" si="61"/>
        <v>1.063264221158958E-2</v>
      </c>
      <c r="P58" s="2739">
        <f t="shared" ref="P58:Q61" si="62">K58/SUM(K$58:K$61)*(E$58/E$62-1)</f>
        <v>2.2244466688911134E-2</v>
      </c>
      <c r="Q58" s="2739">
        <f t="shared" si="62"/>
        <v>0</v>
      </c>
      <c r="R58" s="2692"/>
      <c r="S58" s="2693"/>
      <c r="T58" s="2694"/>
      <c r="U58" s="2694"/>
      <c r="V58" s="2694"/>
      <c r="X58" s="2740"/>
      <c r="Y58" s="2740"/>
      <c r="Z58" s="2740"/>
    </row>
    <row r="59" spans="1:26">
      <c r="A59" s="2681" t="s">
        <v>2627</v>
      </c>
      <c r="B59" s="2695">
        <f t="shared" ref="B59:C61" si="63">B60+(B$58-B$62)*I59/SUM(I$58:I$61)</f>
        <v>119.51351351351352</v>
      </c>
      <c r="C59" s="2695">
        <f t="shared" si="63"/>
        <v>120.7878787878788</v>
      </c>
      <c r="D59" s="2695">
        <f t="shared" si="29"/>
        <v>120.7878787878788</v>
      </c>
      <c r="E59" s="2695">
        <f t="shared" ref="E59:F61" si="64">E60+(E$58-E$62)*K59/SUM(K$58:K$61)</f>
        <v>121.5975975975976</v>
      </c>
      <c r="F59" s="2695">
        <f t="shared" si="64"/>
        <v>107</v>
      </c>
      <c r="G59" s="3734">
        <v>2004</v>
      </c>
      <c r="H59" s="2706">
        <v>3</v>
      </c>
      <c r="I59" s="2706">
        <v>0.56000000000000005</v>
      </c>
      <c r="J59" s="2706">
        <v>0.8</v>
      </c>
      <c r="K59" s="2706">
        <v>0.83</v>
      </c>
      <c r="L59" s="2707">
        <v>0.06</v>
      </c>
      <c r="N59" s="2738">
        <f t="shared" si="61"/>
        <v>2.2725428130833527E-2</v>
      </c>
      <c r="O59" s="2739">
        <f t="shared" si="61"/>
        <v>1.7012227538543329E-2</v>
      </c>
      <c r="P59" s="2739">
        <f t="shared" si="62"/>
        <v>3.6925814703592477E-2</v>
      </c>
      <c r="Q59" s="2739">
        <f t="shared" si="62"/>
        <v>2.8846153846153744E-2</v>
      </c>
      <c r="R59" s="2692"/>
      <c r="S59" s="2690"/>
      <c r="T59" s="2691"/>
      <c r="U59" s="2691"/>
      <c r="V59" s="2691"/>
      <c r="X59" s="2740"/>
      <c r="Y59" s="2740"/>
      <c r="Z59" s="2740"/>
    </row>
    <row r="60" spans="1:26">
      <c r="A60" s="2681" t="s">
        <v>2628</v>
      </c>
      <c r="B60" s="2695">
        <f t="shared" si="63"/>
        <v>116.99099099099099</v>
      </c>
      <c r="C60" s="2695">
        <f t="shared" si="63"/>
        <v>118.84848484848486</v>
      </c>
      <c r="D60" s="2695">
        <f t="shared" si="29"/>
        <v>118.84848484848486</v>
      </c>
      <c r="E60" s="2695">
        <f t="shared" si="64"/>
        <v>117.60960960960961</v>
      </c>
      <c r="F60" s="2695">
        <f t="shared" si="64"/>
        <v>104</v>
      </c>
      <c r="G60" s="3734">
        <v>2004</v>
      </c>
      <c r="H60" s="2686">
        <v>2</v>
      </c>
      <c r="I60" s="2686">
        <v>1</v>
      </c>
      <c r="J60" s="2686">
        <v>1.5</v>
      </c>
      <c r="K60" s="2686">
        <v>1.5</v>
      </c>
      <c r="L60" s="2697">
        <v>0</v>
      </c>
      <c r="N60" s="2738">
        <f t="shared" si="61"/>
        <v>4.0581121662202721E-2</v>
      </c>
      <c r="O60" s="2739">
        <f t="shared" si="61"/>
        <v>3.1897926634768738E-2</v>
      </c>
      <c r="P60" s="2739">
        <f t="shared" si="62"/>
        <v>6.6733400066733395E-2</v>
      </c>
      <c r="Q60" s="2739">
        <f t="shared" si="62"/>
        <v>0</v>
      </c>
      <c r="R60" s="2692"/>
      <c r="S60" s="2690"/>
      <c r="T60" s="2691"/>
      <c r="U60" s="2691"/>
      <c r="V60" s="2691"/>
      <c r="X60" s="2740"/>
      <c r="Y60" s="2740"/>
      <c r="Z60" s="2740"/>
    </row>
    <row r="61" spans="1:26" s="2731" customFormat="1" ht="13.5" thickBot="1">
      <c r="A61" s="2681" t="s">
        <v>2629</v>
      </c>
      <c r="B61" s="2728">
        <f t="shared" si="63"/>
        <v>112.48648648648648</v>
      </c>
      <c r="C61" s="2728">
        <f t="shared" si="63"/>
        <v>115.21212121212122</v>
      </c>
      <c r="D61" s="2728">
        <f t="shared" si="29"/>
        <v>115.21212121212122</v>
      </c>
      <c r="E61" s="2728">
        <f t="shared" si="64"/>
        <v>110.4024024024024</v>
      </c>
      <c r="F61" s="2728">
        <f t="shared" si="64"/>
        <v>104</v>
      </c>
      <c r="G61" s="3735">
        <v>2004</v>
      </c>
      <c r="H61" s="2729">
        <v>1</v>
      </c>
      <c r="I61" s="2729">
        <v>0.33</v>
      </c>
      <c r="J61" s="2729">
        <v>0.5</v>
      </c>
      <c r="K61" s="2729">
        <v>0.5</v>
      </c>
      <c r="L61" s="2730">
        <v>0</v>
      </c>
      <c r="N61" s="2743">
        <f t="shared" si="61"/>
        <v>1.3391770148526898E-2</v>
      </c>
      <c r="O61" s="2744">
        <f t="shared" si="61"/>
        <v>1.063264221158958E-2</v>
      </c>
      <c r="P61" s="2744">
        <f t="shared" si="62"/>
        <v>2.2244466688911134E-2</v>
      </c>
      <c r="Q61" s="2744">
        <f t="shared" si="62"/>
        <v>0</v>
      </c>
      <c r="R61" s="2734"/>
      <c r="S61" s="2732">
        <f>B61/B62-1</f>
        <v>1.3391770148526883E-2</v>
      </c>
      <c r="T61" s="2733">
        <f>C61/C62-1</f>
        <v>1.063264221158966E-2</v>
      </c>
      <c r="U61" s="2733">
        <f>E61/E62-1</f>
        <v>2.2244466688911224E-2</v>
      </c>
      <c r="V61" s="2733">
        <f>F61/F62-1</f>
        <v>0</v>
      </c>
      <c r="X61" s="2745"/>
      <c r="Y61" s="2745"/>
      <c r="Z61" s="2745"/>
    </row>
    <row r="62" spans="1:26" ht="13.5" thickBot="1">
      <c r="A62" s="2681" t="s">
        <v>2630</v>
      </c>
      <c r="B62" s="2746">
        <v>111</v>
      </c>
      <c r="C62" s="2746">
        <v>114</v>
      </c>
      <c r="D62" s="2746">
        <f t="shared" si="29"/>
        <v>114</v>
      </c>
      <c r="E62" s="2746">
        <v>108</v>
      </c>
      <c r="F62" s="2747">
        <v>104</v>
      </c>
      <c r="G62" s="3733">
        <v>2003</v>
      </c>
      <c r="H62" s="2736">
        <v>4</v>
      </c>
      <c r="I62" s="2748"/>
      <c r="J62" s="2748"/>
      <c r="K62" s="2748"/>
      <c r="L62" s="2748"/>
      <c r="N62" s="2749"/>
      <c r="O62" s="2748"/>
      <c r="P62" s="2748"/>
      <c r="Q62" s="2748"/>
      <c r="S62" s="2749"/>
      <c r="T62" s="2748"/>
      <c r="U62" s="2748"/>
      <c r="V62" s="2748"/>
      <c r="X62" s="2740"/>
      <c r="Y62" s="2740"/>
      <c r="Z62" s="2740"/>
    </row>
    <row r="63" spans="1:26">
      <c r="A63" s="2681" t="s">
        <v>2631</v>
      </c>
      <c r="B63" s="2750">
        <f t="shared" ref="B63:C65" si="65">B64+(B$62-B$66)/4</f>
        <v>109.75</v>
      </c>
      <c r="C63" s="2750">
        <f t="shared" si="65"/>
        <v>112.25</v>
      </c>
      <c r="D63" s="2750">
        <f t="shared" si="29"/>
        <v>112.25</v>
      </c>
      <c r="E63" s="2750">
        <f t="shared" ref="E63:F65" si="66">E64+(E$62-E$66)/4</f>
        <v>107.25</v>
      </c>
      <c r="F63" s="2750">
        <f t="shared" si="66"/>
        <v>103.5</v>
      </c>
      <c r="G63" s="3734">
        <v>2003</v>
      </c>
      <c r="H63" s="2706">
        <v>3</v>
      </c>
      <c r="I63" s="2748"/>
      <c r="J63" s="2748"/>
      <c r="K63" s="2748"/>
      <c r="L63" s="2748"/>
      <c r="X63" s="2740"/>
      <c r="Y63" s="2740"/>
      <c r="Z63" s="2740"/>
    </row>
    <row r="64" spans="1:26">
      <c r="A64" s="2681" t="s">
        <v>2632</v>
      </c>
      <c r="B64" s="2750">
        <f t="shared" si="65"/>
        <v>108.5</v>
      </c>
      <c r="C64" s="2750">
        <f t="shared" si="65"/>
        <v>110.5</v>
      </c>
      <c r="D64" s="2750">
        <f t="shared" si="29"/>
        <v>110.5</v>
      </c>
      <c r="E64" s="2750">
        <f t="shared" si="66"/>
        <v>106.5</v>
      </c>
      <c r="F64" s="2750">
        <f t="shared" si="66"/>
        <v>103</v>
      </c>
      <c r="G64" s="3734">
        <v>2003</v>
      </c>
      <c r="H64" s="2686">
        <v>2</v>
      </c>
      <c r="I64" s="2748"/>
      <c r="J64" s="2748"/>
      <c r="K64" s="2748"/>
      <c r="L64" s="2748"/>
      <c r="X64" s="2740"/>
      <c r="Y64" s="2740"/>
      <c r="Z64" s="2740"/>
    </row>
    <row r="65" spans="1:26" ht="13.5" thickBot="1">
      <c r="A65" s="2681" t="s">
        <v>2633</v>
      </c>
      <c r="B65" s="2750">
        <f t="shared" si="65"/>
        <v>107.25</v>
      </c>
      <c r="C65" s="2750">
        <f t="shared" si="65"/>
        <v>108.75</v>
      </c>
      <c r="D65" s="2750">
        <f t="shared" si="29"/>
        <v>108.75</v>
      </c>
      <c r="E65" s="2750">
        <f t="shared" si="66"/>
        <v>105.75</v>
      </c>
      <c r="F65" s="2750">
        <f t="shared" si="66"/>
        <v>102.5</v>
      </c>
      <c r="G65" s="3735">
        <v>2003</v>
      </c>
      <c r="H65" s="2751">
        <v>1</v>
      </c>
      <c r="I65" s="2748"/>
      <c r="J65" s="2748"/>
      <c r="K65" s="2748"/>
      <c r="L65" s="2748"/>
      <c r="S65" s="2690"/>
      <c r="T65" s="2691"/>
      <c r="U65" s="2691"/>
      <c r="X65" s="2740"/>
      <c r="Y65" s="2740"/>
      <c r="Z65" s="2740"/>
    </row>
    <row r="66" spans="1:26" ht="13.5" thickBot="1">
      <c r="A66" s="2681" t="s">
        <v>2634</v>
      </c>
      <c r="B66" s="2752">
        <v>106</v>
      </c>
      <c r="C66" s="2752">
        <v>107</v>
      </c>
      <c r="D66" s="2752">
        <f t="shared" si="29"/>
        <v>107</v>
      </c>
      <c r="E66" s="2752">
        <v>105</v>
      </c>
      <c r="F66" s="2753">
        <v>102</v>
      </c>
      <c r="G66" s="3733">
        <v>2002</v>
      </c>
      <c r="H66" s="2701">
        <v>4</v>
      </c>
      <c r="I66" s="2748"/>
      <c r="J66" s="2748"/>
      <c r="K66" s="2748"/>
      <c r="L66" s="2748"/>
      <c r="N66" s="2749"/>
      <c r="O66" s="2748"/>
      <c r="P66" s="2748"/>
      <c r="Q66" s="2748"/>
      <c r="S66" s="2749"/>
      <c r="T66" s="2748"/>
      <c r="U66" s="2748"/>
      <c r="V66" s="2748"/>
      <c r="X66" s="2740"/>
      <c r="Y66" s="2740"/>
      <c r="Z66" s="2740"/>
    </row>
    <row r="67" spans="1:26">
      <c r="A67" s="2681" t="s">
        <v>2635</v>
      </c>
      <c r="B67" s="2750">
        <f t="shared" ref="B67:C69" si="67">B68+(B$66-B$70)/4</f>
        <v>105</v>
      </c>
      <c r="C67" s="2750">
        <f t="shared" si="67"/>
        <v>106</v>
      </c>
      <c r="D67" s="2750">
        <f t="shared" si="29"/>
        <v>106</v>
      </c>
      <c r="E67" s="2750">
        <f t="shared" ref="E67:F69" si="68">E68+(E$66-E$70)/4</f>
        <v>104.5</v>
      </c>
      <c r="F67" s="2750">
        <f t="shared" si="68"/>
        <v>101.5</v>
      </c>
      <c r="G67" s="3734">
        <v>2002</v>
      </c>
      <c r="H67" s="2706">
        <v>3</v>
      </c>
      <c r="I67" s="2748"/>
      <c r="J67" s="2748"/>
      <c r="K67" s="2748"/>
      <c r="L67" s="2748"/>
      <c r="X67" s="2740"/>
      <c r="Y67" s="2740"/>
      <c r="Z67" s="2740"/>
    </row>
    <row r="68" spans="1:26">
      <c r="A68" s="2681" t="s">
        <v>2636</v>
      </c>
      <c r="B68" s="2750">
        <f t="shared" si="67"/>
        <v>104</v>
      </c>
      <c r="C68" s="2750">
        <f t="shared" si="67"/>
        <v>105</v>
      </c>
      <c r="D68" s="2750">
        <f t="shared" si="29"/>
        <v>105</v>
      </c>
      <c r="E68" s="2750">
        <f t="shared" si="68"/>
        <v>104</v>
      </c>
      <c r="F68" s="2750">
        <f t="shared" si="68"/>
        <v>101</v>
      </c>
      <c r="G68" s="3734">
        <v>2002</v>
      </c>
      <c r="H68" s="2686">
        <v>2</v>
      </c>
      <c r="I68" s="2748"/>
      <c r="J68" s="2748"/>
      <c r="K68" s="2748"/>
      <c r="L68" s="2748"/>
      <c r="X68" s="2740"/>
      <c r="Y68" s="2740"/>
      <c r="Z68" s="2740"/>
    </row>
    <row r="69" spans="1:26" s="2717" customFormat="1" ht="13.5" thickBot="1">
      <c r="A69" s="2713" t="s">
        <v>2637</v>
      </c>
      <c r="B69" s="2754">
        <f t="shared" si="67"/>
        <v>103</v>
      </c>
      <c r="C69" s="2754">
        <f t="shared" si="67"/>
        <v>104</v>
      </c>
      <c r="D69" s="2754">
        <f t="shared" si="29"/>
        <v>104</v>
      </c>
      <c r="E69" s="2754">
        <f t="shared" si="68"/>
        <v>103.5</v>
      </c>
      <c r="F69" s="2754">
        <f t="shared" si="68"/>
        <v>100.5</v>
      </c>
      <c r="G69" s="3735">
        <v>2002</v>
      </c>
      <c r="H69" s="2755">
        <v>1</v>
      </c>
      <c r="I69" s="2756"/>
      <c r="J69" s="2756"/>
      <c r="K69" s="2756"/>
      <c r="L69" s="2756"/>
      <c r="N69" s="2757"/>
      <c r="S69" s="2757"/>
      <c r="X69" s="2758"/>
      <c r="Y69" s="2758"/>
      <c r="Z69" s="2758"/>
    </row>
    <row r="70" spans="1:26" ht="13.5" thickBot="1">
      <c r="B70" s="2759">
        <v>102</v>
      </c>
      <c r="C70" s="2760">
        <v>103</v>
      </c>
      <c r="D70" s="2760">
        <f t="shared" si="29"/>
        <v>103</v>
      </c>
      <c r="E70" s="2760">
        <v>103</v>
      </c>
      <c r="F70" s="2761">
        <v>100</v>
      </c>
      <c r="I70" s="2748"/>
      <c r="J70" s="2748"/>
      <c r="K70" s="2748"/>
      <c r="L70" s="2748"/>
      <c r="N70" s="2749"/>
      <c r="O70" s="2748"/>
      <c r="P70" s="2748"/>
      <c r="Q70" s="2748"/>
      <c r="S70" s="2749"/>
      <c r="T70" s="2748"/>
      <c r="U70" s="2748"/>
      <c r="V70" s="2748"/>
      <c r="X70" s="2694"/>
      <c r="Y70" s="2694"/>
      <c r="Z70" s="2694"/>
    </row>
    <row r="72" spans="1:26" s="2763" customFormat="1">
      <c r="A72" s="2762" t="s">
        <v>2638</v>
      </c>
      <c r="G72" s="2764"/>
      <c r="N72" s="2764"/>
      <c r="S72" s="2764"/>
    </row>
    <row r="73" spans="1:26" s="2763" customFormat="1">
      <c r="A73" s="2763" t="s">
        <v>2639</v>
      </c>
      <c r="G73" s="2764"/>
      <c r="N73" s="2764"/>
      <c r="S73" s="2764"/>
    </row>
    <row r="74" spans="1:26" s="2763" customFormat="1">
      <c r="A74" s="2763" t="s">
        <v>2640</v>
      </c>
      <c r="G74" s="2764"/>
      <c r="I74" s="2765"/>
      <c r="J74" s="2765"/>
      <c r="K74" s="2765"/>
      <c r="L74" s="2765"/>
      <c r="N74" s="2766"/>
      <c r="O74" s="2765"/>
      <c r="P74" s="2765"/>
      <c r="Q74" s="2765"/>
      <c r="S74" s="2766"/>
      <c r="T74" s="2765"/>
      <c r="U74" s="2765"/>
      <c r="V74" s="2765"/>
    </row>
    <row r="75" spans="1:26" s="2763" customFormat="1">
      <c r="A75" s="2763" t="s">
        <v>2641</v>
      </c>
      <c r="G75" s="2764"/>
      <c r="N75" s="2764"/>
      <c r="S75" s="2764"/>
    </row>
    <row r="82" spans="7:22" ht="13.5" thickBot="1"/>
    <row r="83" spans="7:22">
      <c r="G83" s="2689"/>
      <c r="S83" s="2767" t="s">
        <v>2642</v>
      </c>
      <c r="T83" s="2768" t="s">
        <v>2643</v>
      </c>
      <c r="U83" s="2768" t="s">
        <v>2644</v>
      </c>
      <c r="V83" s="2768" t="s">
        <v>2645</v>
      </c>
    </row>
    <row r="84" spans="7:22">
      <c r="G84" s="2689"/>
      <c r="N84" s="2693"/>
      <c r="O84" s="2694"/>
      <c r="P84" s="2694"/>
      <c r="Q84" s="2694"/>
      <c r="S84" s="2769">
        <v>2006</v>
      </c>
      <c r="T84" s="2770">
        <v>15.1</v>
      </c>
      <c r="U84" s="2770">
        <v>7.43</v>
      </c>
      <c r="V84" s="2770">
        <v>26.26</v>
      </c>
    </row>
    <row r="85" spans="7:22">
      <c r="G85" s="2689"/>
      <c r="N85" s="2693"/>
      <c r="O85" s="2694"/>
      <c r="P85" s="2694"/>
      <c r="Q85" s="2694"/>
      <c r="S85" s="2772">
        <v>2005</v>
      </c>
      <c r="T85" s="2771">
        <v>13.9</v>
      </c>
      <c r="U85" s="2771">
        <v>7.49</v>
      </c>
      <c r="V85" s="2771">
        <v>24.92</v>
      </c>
    </row>
    <row r="86" spans="7:22">
      <c r="G86" s="2689"/>
      <c r="N86" s="2693"/>
      <c r="O86" s="2694"/>
      <c r="P86" s="2694"/>
      <c r="Q86" s="2694"/>
      <c r="S86" s="2769">
        <v>2004</v>
      </c>
      <c r="T86" s="2770">
        <v>9.48</v>
      </c>
      <c r="U86" s="2770">
        <v>7.2</v>
      </c>
      <c r="V86" s="2770">
        <v>14.68</v>
      </c>
    </row>
    <row r="87" spans="7:22">
      <c r="G87" s="2689"/>
      <c r="N87" s="2693"/>
      <c r="O87" s="2694"/>
      <c r="P87" s="2694"/>
      <c r="Q87" s="2694"/>
      <c r="S87" s="2772">
        <v>2003</v>
      </c>
      <c r="T87" s="2771">
        <v>4.5</v>
      </c>
      <c r="U87" s="2771">
        <v>6.12</v>
      </c>
      <c r="V87" s="2771">
        <v>2.34</v>
      </c>
    </row>
    <row r="88" spans="7:22" ht="13.5" thickBot="1">
      <c r="G88" s="2689"/>
      <c r="N88" s="2693"/>
      <c r="O88" s="2694"/>
      <c r="P88" s="2694"/>
      <c r="Q88" s="2694"/>
      <c r="S88" s="2773">
        <v>2002</v>
      </c>
      <c r="T88" s="2774">
        <v>3.59</v>
      </c>
      <c r="U88" s="2774">
        <v>4.54</v>
      </c>
      <c r="V88" s="2774">
        <v>2.5499999999999998</v>
      </c>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45" t="s">
        <v>2478</v>
      </c>
      <c r="B1" s="3746"/>
      <c r="C1" s="3747"/>
      <c r="D1" s="3748">
        <f>SUM(I10,I15,I20,I21,I23)</f>
        <v>0</v>
      </c>
      <c r="E1" s="3748"/>
      <c r="F1" s="3748"/>
      <c r="G1" s="3748"/>
      <c r="H1" s="3748"/>
      <c r="I1" s="3749"/>
    </row>
    <row r="2" spans="1:9">
      <c r="A2" s="3750" t="s">
        <v>2479</v>
      </c>
      <c r="B2" s="3751" t="s">
        <v>2480</v>
      </c>
      <c r="C2" s="3751"/>
      <c r="D2" s="2532" t="s">
        <v>2481</v>
      </c>
      <c r="E2" s="2532" t="s">
        <v>2482</v>
      </c>
      <c r="F2" s="2532" t="s">
        <v>2483</v>
      </c>
      <c r="G2" s="2532" t="s">
        <v>2484</v>
      </c>
      <c r="H2" s="2532" t="s">
        <v>2485</v>
      </c>
      <c r="I2" s="2533" t="s">
        <v>2486</v>
      </c>
    </row>
    <row r="3" spans="1:9">
      <c r="A3" s="3750"/>
      <c r="B3" s="3751" t="s">
        <v>2487</v>
      </c>
      <c r="C3" s="3751"/>
      <c r="D3" s="2534"/>
      <c r="E3" s="2532"/>
      <c r="F3" s="2535"/>
      <c r="G3" s="2535"/>
      <c r="H3" s="2536"/>
      <c r="I3" s="2537">
        <f>ROUND(D3*E3*F3*G3*H3/10000,0)</f>
        <v>0</v>
      </c>
    </row>
    <row r="4" spans="1:9">
      <c r="A4" s="3750"/>
      <c r="B4" s="3751" t="s">
        <v>2488</v>
      </c>
      <c r="C4" s="3751"/>
      <c r="D4" s="2534"/>
      <c r="E4" s="2532"/>
      <c r="F4" s="2535"/>
      <c r="G4" s="2535"/>
      <c r="H4" s="2536"/>
      <c r="I4" s="2537">
        <f t="shared" ref="I4:I9" si="0">ROUND(D4*E4*F4*G4*H4/10000,0)</f>
        <v>0</v>
      </c>
    </row>
    <row r="5" spans="1:9">
      <c r="A5" s="3750"/>
      <c r="B5" s="3751" t="s">
        <v>2489</v>
      </c>
      <c r="C5" s="3751"/>
      <c r="D5" s="2534"/>
      <c r="E5" s="2532"/>
      <c r="F5" s="2535"/>
      <c r="G5" s="2535"/>
      <c r="H5" s="2536"/>
      <c r="I5" s="2537">
        <f t="shared" si="0"/>
        <v>0</v>
      </c>
    </row>
    <row r="6" spans="1:9">
      <c r="A6" s="3750"/>
      <c r="B6" s="3751" t="s">
        <v>2490</v>
      </c>
      <c r="C6" s="3751"/>
      <c r="D6" s="2534"/>
      <c r="E6" s="2532"/>
      <c r="F6" s="2535"/>
      <c r="G6" s="2535"/>
      <c r="H6" s="2536"/>
      <c r="I6" s="2537">
        <f t="shared" si="0"/>
        <v>0</v>
      </c>
    </row>
    <row r="7" spans="1:9">
      <c r="A7" s="3750"/>
      <c r="B7" s="3751" t="s">
        <v>2491</v>
      </c>
      <c r="C7" s="3751"/>
      <c r="D7" s="2534"/>
      <c r="E7" s="2532"/>
      <c r="F7" s="2535"/>
      <c r="G7" s="2535"/>
      <c r="H7" s="2536"/>
      <c r="I7" s="2537">
        <f t="shared" si="0"/>
        <v>0</v>
      </c>
    </row>
    <row r="8" spans="1:9">
      <c r="A8" s="3750"/>
      <c r="B8" s="3751" t="s">
        <v>2492</v>
      </c>
      <c r="C8" s="3751"/>
      <c r="D8" s="2534"/>
      <c r="E8" s="2532"/>
      <c r="F8" s="2535"/>
      <c r="G8" s="2535"/>
      <c r="H8" s="2536"/>
      <c r="I8" s="2537">
        <f t="shared" si="0"/>
        <v>0</v>
      </c>
    </row>
    <row r="9" spans="1:9">
      <c r="A9" s="3750"/>
      <c r="B9" s="3751" t="s">
        <v>2493</v>
      </c>
      <c r="C9" s="3751"/>
      <c r="D9" s="2534"/>
      <c r="E9" s="2532"/>
      <c r="F9" s="2535"/>
      <c r="G9" s="2535"/>
      <c r="H9" s="2536"/>
      <c r="I9" s="2537">
        <f t="shared" si="0"/>
        <v>0</v>
      </c>
    </row>
    <row r="10" spans="1:9">
      <c r="A10" s="3750"/>
      <c r="B10" s="3752" t="s">
        <v>2494</v>
      </c>
      <c r="C10" s="3752"/>
      <c r="D10" s="2538">
        <v>527</v>
      </c>
      <c r="E10" s="2538" t="e">
        <f>ROUND(D1*10000/D10/H9,0)</f>
        <v>#DIV/0!</v>
      </c>
      <c r="F10" s="2539"/>
      <c r="G10" s="2539"/>
      <c r="H10" s="2540"/>
      <c r="I10" s="2541">
        <f>SUM(I3:I9)</f>
        <v>0</v>
      </c>
    </row>
    <row r="11" spans="1:9" ht="14.25">
      <c r="A11" s="3750" t="s">
        <v>2495</v>
      </c>
      <c r="B11" s="3751" t="s">
        <v>2496</v>
      </c>
      <c r="C11" s="3751"/>
      <c r="D11" s="2534" t="s">
        <v>2497</v>
      </c>
      <c r="E11" s="2534" t="s">
        <v>2498</v>
      </c>
      <c r="F11" s="2535" t="s">
        <v>2499</v>
      </c>
      <c r="G11" s="2535" t="s">
        <v>2500</v>
      </c>
      <c r="H11" s="2542" t="s">
        <v>2501</v>
      </c>
      <c r="I11" s="2533" t="s">
        <v>2502</v>
      </c>
    </row>
    <row r="12" spans="1:9">
      <c r="A12" s="3750"/>
      <c r="B12" s="3751" t="s">
        <v>2503</v>
      </c>
      <c r="C12" s="3751"/>
      <c r="D12" s="2534"/>
      <c r="E12" s="2534"/>
      <c r="F12" s="2535"/>
      <c r="G12" s="2536"/>
      <c r="H12" s="2543"/>
      <c r="I12" s="2533">
        <f>ROUND(D12*E12*F12*G12/10000,0)</f>
        <v>0</v>
      </c>
    </row>
    <row r="13" spans="1:9">
      <c r="A13" s="3750"/>
      <c r="B13" s="3751" t="s">
        <v>2504</v>
      </c>
      <c r="C13" s="3751"/>
      <c r="D13" s="2534"/>
      <c r="E13" s="2534"/>
      <c r="F13" s="2535"/>
      <c r="G13" s="2536"/>
      <c r="H13" s="2543"/>
      <c r="I13" s="2533">
        <f>ROUND(D13*E13*F13*G13/10000,0)</f>
        <v>0</v>
      </c>
    </row>
    <row r="14" spans="1:9">
      <c r="A14" s="3750"/>
      <c r="B14" s="3751" t="s">
        <v>2505</v>
      </c>
      <c r="C14" s="3751"/>
      <c r="D14" s="2534"/>
      <c r="E14" s="2534"/>
      <c r="F14" s="2535"/>
      <c r="G14" s="2536"/>
      <c r="H14" s="2543"/>
      <c r="I14" s="2533">
        <f>ROUND(D14*E14*F14*G14/10000,0)</f>
        <v>0</v>
      </c>
    </row>
    <row r="15" spans="1:9">
      <c r="A15" s="3750"/>
      <c r="B15" s="3752" t="s">
        <v>2494</v>
      </c>
      <c r="C15" s="3752"/>
      <c r="D15" s="2538"/>
      <c r="E15" s="2538">
        <f>SUM(E12:E14)</f>
        <v>0</v>
      </c>
      <c r="F15" s="2539"/>
      <c r="G15" s="2536"/>
      <c r="H15" s="2543"/>
      <c r="I15" s="2544">
        <f>SUM(I12:I14)</f>
        <v>0</v>
      </c>
    </row>
    <row r="16" spans="1:9" ht="24">
      <c r="A16" s="3750" t="s">
        <v>2506</v>
      </c>
      <c r="B16" s="3751" t="s">
        <v>2507</v>
      </c>
      <c r="C16" s="3751"/>
      <c r="D16" s="2534" t="s">
        <v>2508</v>
      </c>
      <c r="E16" s="2545" t="s">
        <v>2509</v>
      </c>
      <c r="F16" s="2535" t="s">
        <v>2510</v>
      </c>
      <c r="G16" s="2536" t="s">
        <v>2500</v>
      </c>
      <c r="H16" s="2542" t="s">
        <v>2501</v>
      </c>
      <c r="I16" s="2533" t="s">
        <v>2502</v>
      </c>
    </row>
    <row r="17" spans="1:9" ht="14.25">
      <c r="A17" s="3750"/>
      <c r="B17" s="3751" t="s">
        <v>2511</v>
      </c>
      <c r="C17" s="3751"/>
      <c r="D17" s="2534"/>
      <c r="E17" s="2534"/>
      <c r="F17" s="2535"/>
      <c r="G17" s="2536"/>
      <c r="H17" s="2546"/>
      <c r="I17" s="2547">
        <f>ROUND(D17*E17*F17*G17/10000,0)</f>
        <v>0</v>
      </c>
    </row>
    <row r="18" spans="1:9" ht="14.25">
      <c r="A18" s="3750"/>
      <c r="B18" s="3751" t="s">
        <v>2512</v>
      </c>
      <c r="C18" s="3751"/>
      <c r="D18" s="2534"/>
      <c r="E18" s="2534"/>
      <c r="F18" s="2535"/>
      <c r="G18" s="2536"/>
      <c r="H18" s="2546"/>
      <c r="I18" s="2547">
        <f>ROUND(D18*E18*F18*G18/10000,0)</f>
        <v>0</v>
      </c>
    </row>
    <row r="19" spans="1:9" ht="14.25">
      <c r="A19" s="3750"/>
      <c r="B19" s="3751" t="s">
        <v>2513</v>
      </c>
      <c r="C19" s="3751"/>
      <c r="D19" s="2534"/>
      <c r="E19" s="2534"/>
      <c r="F19" s="2535"/>
      <c r="G19" s="2536"/>
      <c r="H19" s="2546"/>
      <c r="I19" s="2547">
        <f>ROUND(D19*E19*F19*G19/10000,0)</f>
        <v>0</v>
      </c>
    </row>
    <row r="20" spans="1:9">
      <c r="A20" s="3750"/>
      <c r="B20" s="3752" t="s">
        <v>2494</v>
      </c>
      <c r="C20" s="3752"/>
      <c r="D20" s="2538">
        <f>SUM(D17:D19)</f>
        <v>0</v>
      </c>
      <c r="E20" s="2538"/>
      <c r="F20" s="2539"/>
      <c r="G20" s="2536"/>
      <c r="H20" s="2543"/>
      <c r="I20" s="2544">
        <f>SUM(I17:I19)</f>
        <v>0</v>
      </c>
    </row>
    <row r="21" spans="1:9">
      <c r="A21" s="3750" t="s">
        <v>2514</v>
      </c>
      <c r="B21" s="3754"/>
      <c r="C21" s="3754"/>
      <c r="D21" s="3754"/>
      <c r="E21" s="3754"/>
      <c r="F21" s="3754"/>
      <c r="G21" s="3754"/>
      <c r="H21" s="2548">
        <v>0.1</v>
      </c>
      <c r="I21" s="2541">
        <f>ROUND(I10*H21,0)</f>
        <v>0</v>
      </c>
    </row>
    <row r="22" spans="1:9" ht="14.25">
      <c r="A22" s="3755" t="s">
        <v>2515</v>
      </c>
      <c r="B22" s="3756"/>
      <c r="C22" s="3757"/>
      <c r="D22" s="2549" t="s">
        <v>2516</v>
      </c>
      <c r="E22" s="2549" t="s">
        <v>2517</v>
      </c>
      <c r="F22" s="2550" t="s">
        <v>2518</v>
      </c>
      <c r="G22" s="2550" t="s">
        <v>2519</v>
      </c>
      <c r="H22" s="2542" t="s">
        <v>2520</v>
      </c>
      <c r="I22" s="2533" t="s">
        <v>2521</v>
      </c>
    </row>
    <row r="23" spans="1:9" ht="14.25" thickBot="1">
      <c r="A23" s="3758"/>
      <c r="B23" s="3759"/>
      <c r="C23" s="3760"/>
      <c r="D23" s="2551"/>
      <c r="E23" s="2551"/>
      <c r="F23" s="2551"/>
      <c r="G23" s="2552"/>
      <c r="H23" s="2553"/>
      <c r="I23" s="2554">
        <f>ROUND(E23*D23*F23*(1-G23)/10000,0)</f>
        <v>0</v>
      </c>
    </row>
    <row r="26" spans="1:9">
      <c r="A26" s="2555" t="s">
        <v>2522</v>
      </c>
      <c r="B26" s="2555"/>
      <c r="C26" s="2555"/>
      <c r="D26" s="2555"/>
      <c r="E26" s="3761">
        <f>C27-C30-C31-C32</f>
        <v>0</v>
      </c>
      <c r="F26" s="3761"/>
      <c r="G26" s="3761"/>
      <c r="H26" s="3070" t="s">
        <v>2850</v>
      </c>
    </row>
    <row r="27" spans="1:9">
      <c r="A27" s="2556">
        <v>1</v>
      </c>
      <c r="B27" s="2557" t="s">
        <v>2523</v>
      </c>
      <c r="C27" s="2557"/>
      <c r="D27" s="2557"/>
      <c r="E27" s="3762"/>
      <c r="F27" s="3762"/>
      <c r="G27" s="3762"/>
    </row>
    <row r="28" spans="1:9">
      <c r="A28" s="2558" t="s">
        <v>2524</v>
      </c>
      <c r="B28" s="2557" t="s">
        <v>2525</v>
      </c>
      <c r="C28" s="2557"/>
      <c r="D28" s="2557"/>
      <c r="E28" s="3762"/>
      <c r="F28" s="3762"/>
      <c r="G28" s="3762"/>
    </row>
    <row r="29" spans="1:9">
      <c r="A29" s="2558" t="s">
        <v>2526</v>
      </c>
      <c r="B29" s="2557" t="s">
        <v>2466</v>
      </c>
      <c r="C29" s="2557"/>
      <c r="D29" s="2557"/>
      <c r="E29" s="2557" t="s">
        <v>2527</v>
      </c>
      <c r="F29" s="2557"/>
      <c r="G29" s="2557"/>
    </row>
    <row r="30" spans="1:9">
      <c r="A30" s="2556">
        <v>2</v>
      </c>
      <c r="B30" s="2557" t="s">
        <v>2528</v>
      </c>
      <c r="C30" s="2557">
        <f>C27*D30</f>
        <v>0</v>
      </c>
      <c r="D30" s="2559">
        <v>0.2</v>
      </c>
      <c r="E30" s="2557" t="s">
        <v>2529</v>
      </c>
      <c r="F30" s="2557"/>
      <c r="G30" s="2557"/>
    </row>
    <row r="31" spans="1:9">
      <c r="A31" s="2556">
        <v>3</v>
      </c>
      <c r="B31" s="2557" t="s">
        <v>2530</v>
      </c>
      <c r="C31" s="2557">
        <f>C25*D31</f>
        <v>0</v>
      </c>
      <c r="D31" s="2559">
        <v>0.15</v>
      </c>
      <c r="E31" s="2557" t="s">
        <v>2531</v>
      </c>
      <c r="F31" s="2557"/>
      <c r="G31" s="2557"/>
    </row>
    <row r="32" spans="1:9">
      <c r="A32" s="2556">
        <v>4</v>
      </c>
      <c r="B32" s="2557" t="s">
        <v>2532</v>
      </c>
      <c r="C32" s="2557">
        <f>C27*D32</f>
        <v>0</v>
      </c>
      <c r="D32" s="2559">
        <v>0.05</v>
      </c>
      <c r="E32" s="3753"/>
      <c r="F32" s="3753"/>
      <c r="G32" s="3753"/>
    </row>
    <row r="33" spans="1:7" hidden="1">
      <c r="A33" s="3763" t="s">
        <v>2533</v>
      </c>
      <c r="B33" s="3764"/>
      <c r="C33" s="3764"/>
      <c r="D33" s="3765"/>
      <c r="E33" s="3761"/>
      <c r="F33" s="3761"/>
      <c r="G33" s="3761"/>
    </row>
    <row r="34" spans="1:7" hidden="1">
      <c r="A34" s="2560">
        <v>1</v>
      </c>
      <c r="B34" s="2557" t="s">
        <v>2534</v>
      </c>
      <c r="C34" s="2557"/>
      <c r="D34" s="2557"/>
      <c r="E34" s="3762"/>
      <c r="F34" s="3762"/>
      <c r="G34" s="3762"/>
    </row>
    <row r="35" spans="1:7" hidden="1">
      <c r="A35" s="2560">
        <v>2</v>
      </c>
      <c r="B35" s="2557" t="s">
        <v>2535</v>
      </c>
      <c r="C35" s="2557"/>
      <c r="D35" s="2557"/>
      <c r="E35" s="3762"/>
      <c r="F35" s="3762"/>
      <c r="G35" s="3762"/>
    </row>
    <row r="36" spans="1:7" hidden="1">
      <c r="A36" s="2560">
        <v>3</v>
      </c>
      <c r="B36" s="2557" t="s">
        <v>2536</v>
      </c>
      <c r="C36" s="2557"/>
      <c r="D36" s="2557"/>
      <c r="E36" s="3762"/>
      <c r="F36" s="3762"/>
      <c r="G36" s="3762"/>
    </row>
    <row r="37" spans="1:7" hidden="1">
      <c r="A37" s="2560">
        <v>4</v>
      </c>
      <c r="B37" s="2557" t="s">
        <v>2537</v>
      </c>
      <c r="C37" s="2557"/>
      <c r="D37" s="2557"/>
      <c r="E37" s="3762"/>
      <c r="F37" s="3762"/>
      <c r="G37" s="3762"/>
    </row>
    <row r="38" spans="1:7" hidden="1">
      <c r="A38" s="3763" t="s">
        <v>2538</v>
      </c>
      <c r="B38" s="3764"/>
      <c r="C38" s="3764"/>
      <c r="D38" s="3765"/>
      <c r="E38" s="3761"/>
      <c r="F38" s="3761"/>
      <c r="G38" s="37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1687</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0</v>
      </c>
      <c r="D7" s="749"/>
      <c r="E7" s="750"/>
      <c r="F7" s="750"/>
      <c r="G7" s="2504"/>
    </row>
    <row r="8" spans="1:25" s="2184" customFormat="1" ht="13.5" customHeight="1">
      <c r="A8" s="2494" t="s">
        <v>2445</v>
      </c>
      <c r="B8" s="2497" t="s">
        <v>2447</v>
      </c>
      <c r="C8" s="2498"/>
      <c r="D8" s="749"/>
      <c r="E8" s="750"/>
      <c r="F8" s="750"/>
      <c r="G8" s="751"/>
    </row>
    <row r="9" spans="1:25" s="2184" customFormat="1" ht="13.5" customHeight="1">
      <c r="A9" s="2494" t="s">
        <v>2446</v>
      </c>
      <c r="B9" s="2497" t="s">
        <v>2448</v>
      </c>
      <c r="C9" s="2498"/>
      <c r="D9" s="749"/>
      <c r="E9" s="750"/>
      <c r="F9" s="750"/>
      <c r="G9" s="751"/>
    </row>
    <row r="10" spans="1:25" s="2184" customFormat="1" ht="36">
      <c r="A10" s="2494">
        <v>2</v>
      </c>
      <c r="B10" s="748" t="s">
        <v>614</v>
      </c>
      <c r="C10" s="749">
        <f>C11+C14+C15</f>
        <v>0</v>
      </c>
      <c r="D10" s="760">
        <f>'数据-汇总表'!E3</f>
        <v>505683.77</v>
      </c>
      <c r="E10" s="749">
        <f>'数据-取费表'!B31</f>
        <v>200</v>
      </c>
      <c r="F10" s="761"/>
      <c r="G10" s="759" t="s">
        <v>615</v>
      </c>
    </row>
    <row r="11" spans="1:25" s="2184" customFormat="1" ht="13.5" customHeight="1">
      <c r="A11" s="2494" t="s">
        <v>2445</v>
      </c>
      <c r="B11" s="752" t="s">
        <v>611</v>
      </c>
      <c r="C11" s="753">
        <f>'数据-取费表'!B29</f>
        <v>0</v>
      </c>
      <c r="D11" s="754"/>
      <c r="E11" s="753"/>
      <c r="F11" s="755"/>
      <c r="G11" s="2503" t="s">
        <v>2456</v>
      </c>
    </row>
    <row r="12" spans="1:25" s="2184" customFormat="1" ht="13.5" customHeight="1">
      <c r="A12" s="2501" t="s">
        <v>2453</v>
      </c>
      <c r="B12" s="756" t="s">
        <v>612</v>
      </c>
      <c r="C12" s="757">
        <f>ROUND(D12*E12/10000,0)</f>
        <v>0</v>
      </c>
      <c r="D12" s="758">
        <f>'数据-汇总表'!E5</f>
        <v>0</v>
      </c>
      <c r="E12" s="757">
        <f>'数据-取费表'!B27</f>
        <v>105</v>
      </c>
      <c r="F12" s="755"/>
      <c r="G12" s="759"/>
    </row>
    <row r="13" spans="1:25" s="2184" customFormat="1" ht="13.5" customHeight="1">
      <c r="A13" s="2501" t="s">
        <v>2452</v>
      </c>
      <c r="B13" s="756" t="s">
        <v>613</v>
      </c>
      <c r="C13" s="757">
        <f>ROUND(D13*E13/10000,0)</f>
        <v>5310</v>
      </c>
      <c r="D13" s="758">
        <f>'数据-汇总表'!E6</f>
        <v>505683.77</v>
      </c>
      <c r="E13" s="757">
        <f>'数据-取费表'!B28</f>
        <v>105</v>
      </c>
      <c r="F13" s="755"/>
      <c r="G13" s="759"/>
    </row>
    <row r="14" spans="1:25" s="2184" customFormat="1" ht="13.5" customHeight="1">
      <c r="A14" s="2494" t="s">
        <v>2446</v>
      </c>
      <c r="B14" s="2500" t="s">
        <v>2449</v>
      </c>
      <c r="C14" s="2498"/>
      <c r="D14" s="758"/>
      <c r="E14" s="757"/>
      <c r="F14" s="2499"/>
      <c r="G14" s="2502" t="s">
        <v>2454</v>
      </c>
    </row>
    <row r="15" spans="1:25" s="2184" customFormat="1" ht="13.5" customHeight="1">
      <c r="A15" s="2494" t="s">
        <v>2451</v>
      </c>
      <c r="B15" s="2500" t="s">
        <v>2450</v>
      </c>
      <c r="C15" s="2498"/>
      <c r="D15" s="758"/>
      <c r="E15" s="757"/>
      <c r="F15" s="2499"/>
      <c r="G15" s="2502" t="s">
        <v>2455</v>
      </c>
    </row>
    <row r="16" spans="1:25" s="2185" customFormat="1" ht="48">
      <c r="A16" s="2494">
        <v>3</v>
      </c>
      <c r="B16" s="748" t="s">
        <v>616</v>
      </c>
      <c r="C16" s="2498"/>
      <c r="D16" s="760"/>
      <c r="E16" s="749"/>
      <c r="F16" s="761"/>
      <c r="G16" s="759" t="s">
        <v>2457</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0</v>
      </c>
      <c r="D18" s="762"/>
      <c r="E18" s="763"/>
      <c r="F18" s="761">
        <f>'数据-取费表'!Q16</f>
        <v>0.18</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0</v>
      </c>
      <c r="D20" s="760"/>
      <c r="E20" s="749"/>
      <c r="F20" s="1349"/>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0</v>
      </c>
      <c r="D22" s="760"/>
      <c r="E22" s="749"/>
      <c r="F22" s="766">
        <f>'数据-取费表'!AP16</f>
        <v>0.83399999999999996</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8" t="s">
        <v>720</v>
      </c>
      <c r="C1" s="2649" t="s">
        <v>721</v>
      </c>
      <c r="D1" s="2650"/>
      <c r="E1" s="2651"/>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520</v>
      </c>
      <c r="B3" s="851" t="e">
        <f>C49</f>
        <v>#DIV/0!</v>
      </c>
      <c r="C3" s="852" t="s">
        <v>723</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522</v>
      </c>
      <c r="B4" s="513"/>
      <c r="C4" s="3660" t="s">
        <v>523</v>
      </c>
      <c r="D4" s="3661"/>
      <c r="E4" s="3694" t="s">
        <v>524</v>
      </c>
      <c r="F4" s="3695"/>
      <c r="G4" s="3660" t="s">
        <v>525</v>
      </c>
      <c r="H4" s="3661"/>
      <c r="I4" s="3660" t="s">
        <v>526</v>
      </c>
      <c r="J4" s="3661"/>
      <c r="K4" s="853" t="s">
        <v>527</v>
      </c>
      <c r="L4" s="2134"/>
      <c r="M4" s="2135"/>
      <c r="N4" s="2135"/>
      <c r="O4" s="2135"/>
      <c r="P4" s="3662" t="s">
        <v>528</v>
      </c>
      <c r="Q4" s="3663"/>
      <c r="R4" s="3668" t="s">
        <v>524</v>
      </c>
      <c r="S4" s="3669"/>
      <c r="T4" s="3668" t="s">
        <v>525</v>
      </c>
      <c r="U4" s="3669"/>
      <c r="V4" s="3655" t="s">
        <v>526</v>
      </c>
      <c r="W4" s="3655"/>
      <c r="X4" s="1567"/>
      <c r="Y4" s="3668" t="s">
        <v>528</v>
      </c>
      <c r="Z4" s="3669"/>
      <c r="AA4" s="3657" t="s">
        <v>524</v>
      </c>
      <c r="AB4" s="3657" t="s">
        <v>525</v>
      </c>
      <c r="AC4" s="3657" t="s">
        <v>526</v>
      </c>
    </row>
    <row r="5" spans="1:29" ht="15">
      <c r="A5" s="515"/>
      <c r="B5" s="516"/>
      <c r="C5" s="3676" t="s">
        <v>2938</v>
      </c>
      <c r="D5" s="3677"/>
      <c r="E5" s="3696" t="s">
        <v>2939</v>
      </c>
      <c r="F5" s="3697"/>
      <c r="G5" s="3676" t="s">
        <v>2940</v>
      </c>
      <c r="H5" s="3677"/>
      <c r="I5" s="3676" t="s">
        <v>2941</v>
      </c>
      <c r="J5" s="3677"/>
      <c r="K5" s="854"/>
      <c r="L5" s="2134"/>
      <c r="M5" s="2135"/>
      <c r="N5" s="2135"/>
      <c r="O5" s="2135"/>
      <c r="P5" s="3664"/>
      <c r="Q5" s="3665"/>
      <c r="R5" s="3670"/>
      <c r="S5" s="3671"/>
      <c r="T5" s="3670"/>
      <c r="U5" s="3671"/>
      <c r="V5" s="3655"/>
      <c r="W5" s="3655"/>
      <c r="X5" s="1567"/>
      <c r="Y5" s="3670"/>
      <c r="Z5" s="3671"/>
      <c r="AA5" s="3658"/>
      <c r="AB5" s="3658"/>
      <c r="AC5" s="3658"/>
    </row>
    <row r="6" spans="1:29" ht="15.75" thickBot="1">
      <c r="A6" s="517"/>
      <c r="B6" s="518"/>
      <c r="C6" s="3674" t="s">
        <v>2942</v>
      </c>
      <c r="D6" s="3675"/>
      <c r="E6" s="3692" t="s">
        <v>2942</v>
      </c>
      <c r="F6" s="3693"/>
      <c r="G6" s="3674" t="s">
        <v>2942</v>
      </c>
      <c r="H6" s="3675"/>
      <c r="I6" s="3674" t="s">
        <v>2942</v>
      </c>
      <c r="J6" s="3675"/>
      <c r="K6" s="854" t="s">
        <v>529</v>
      </c>
      <c r="L6" s="2134"/>
      <c r="M6" s="2135"/>
      <c r="N6" s="2135"/>
      <c r="O6" s="2135"/>
      <c r="P6" s="3666"/>
      <c r="Q6" s="3667"/>
      <c r="R6" s="3670"/>
      <c r="S6" s="3671"/>
      <c r="T6" s="3672"/>
      <c r="U6" s="3673"/>
      <c r="V6" s="3655"/>
      <c r="W6" s="3655"/>
      <c r="X6" s="1567"/>
      <c r="Y6" s="3672"/>
      <c r="Z6" s="3673"/>
      <c r="AA6" s="3659"/>
      <c r="AB6" s="3659"/>
      <c r="AC6" s="3659"/>
    </row>
    <row r="7" spans="1:29" s="1220" customFormat="1" ht="15.75" thickBot="1">
      <c r="A7" s="2938"/>
      <c r="B7" s="2945" t="s">
        <v>530</v>
      </c>
      <c r="C7" s="519">
        <f>'数据-取费表'!B2</f>
        <v>43167</v>
      </c>
      <c r="D7" s="520">
        <v>100</v>
      </c>
      <c r="E7" s="521"/>
      <c r="F7" s="522">
        <f>SUMIF(58:58,YEAR(E7)&amp;"-"&amp;MONTH(E7),59:59)</f>
        <v>0</v>
      </c>
      <c r="G7" s="523"/>
      <c r="H7" s="520">
        <f>SUMIF(58:58,YEAR(G7)&amp;"-"&amp;MONTH(G7),59:59)</f>
        <v>0</v>
      </c>
      <c r="I7" s="523"/>
      <c r="J7" s="520">
        <f>SUMIF(58:58,YEAR(I7)&amp;"-"&amp;MONTH(I7),59:59)</f>
        <v>0</v>
      </c>
      <c r="K7" s="855"/>
      <c r="L7" s="2136"/>
      <c r="M7" s="2137"/>
      <c r="N7" s="2137"/>
      <c r="O7" s="2137"/>
      <c r="P7" s="3685" t="s">
        <v>531</v>
      </c>
      <c r="Q7" s="3687"/>
      <c r="R7" s="1568" t="s">
        <v>13</v>
      </c>
      <c r="S7" s="1569">
        <f t="shared" ref="S7:S15" si="0">F7</f>
        <v>0</v>
      </c>
      <c r="T7" s="1568" t="s">
        <v>13</v>
      </c>
      <c r="U7" s="1569">
        <f t="shared" ref="U7:U15" si="1">H7</f>
        <v>0</v>
      </c>
      <c r="V7" s="1568" t="s">
        <v>13</v>
      </c>
      <c r="W7" s="1569">
        <f t="shared" ref="W7:W15" si="2">J7</f>
        <v>0</v>
      </c>
      <c r="X7" s="1570"/>
      <c r="Y7" s="3685" t="s">
        <v>531</v>
      </c>
      <c r="Z7" s="3686"/>
      <c r="AA7" s="1571" t="e">
        <f>D7/F7</f>
        <v>#DIV/0!</v>
      </c>
      <c r="AB7" s="1571" t="e">
        <f>D7/H7</f>
        <v>#DIV/0!</v>
      </c>
      <c r="AC7" s="1571" t="e">
        <f>D7/J7</f>
        <v>#DIV/0!</v>
      </c>
    </row>
    <row r="8" spans="1:29" s="1220" customFormat="1" ht="15.75" thickBot="1">
      <c r="A8" s="2939"/>
      <c r="B8" s="2946" t="s">
        <v>532</v>
      </c>
      <c r="C8" s="525" t="s">
        <v>577</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685" t="s">
        <v>534</v>
      </c>
      <c r="Q8" s="3686"/>
      <c r="R8" s="1568" t="s">
        <v>13</v>
      </c>
      <c r="S8" s="1569">
        <f t="shared" si="0"/>
        <v>0</v>
      </c>
      <c r="T8" s="1568" t="s">
        <v>13</v>
      </c>
      <c r="U8" s="1569">
        <f t="shared" si="1"/>
        <v>0</v>
      </c>
      <c r="V8" s="1568" t="s">
        <v>13</v>
      </c>
      <c r="W8" s="1569">
        <f t="shared" si="2"/>
        <v>0</v>
      </c>
      <c r="X8" s="1570"/>
      <c r="Y8" s="3685" t="s">
        <v>534</v>
      </c>
      <c r="Z8" s="3686"/>
      <c r="AA8" s="1571" t="e">
        <f t="shared" ref="AA8:AA46" si="3">D8/F8</f>
        <v>#DIV/0!</v>
      </c>
      <c r="AB8" s="1571" t="e">
        <f t="shared" ref="AB8:AB46" si="4">D8/H8</f>
        <v>#DIV/0!</v>
      </c>
      <c r="AC8" s="1571" t="e">
        <f t="shared" ref="AC8:AC46" si="5">D8/J8</f>
        <v>#DIV/0!</v>
      </c>
    </row>
    <row r="9" spans="1:29" s="1220" customFormat="1" ht="15">
      <c r="A9" s="2940"/>
      <c r="B9" s="2947" t="s">
        <v>2763</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654" t="s">
        <v>536</v>
      </c>
      <c r="Q9" s="1151" t="str">
        <f t="shared" ref="Q9:Q15" si="6">B9</f>
        <v>用途</v>
      </c>
      <c r="R9" s="1568" t="s">
        <v>8</v>
      </c>
      <c r="S9" s="1569">
        <f t="shared" si="0"/>
        <v>100</v>
      </c>
      <c r="T9" s="1568" t="s">
        <v>8</v>
      </c>
      <c r="U9" s="1569">
        <f t="shared" si="1"/>
        <v>100</v>
      </c>
      <c r="V9" s="1568" t="s">
        <v>8</v>
      </c>
      <c r="W9" s="1569">
        <f t="shared" si="2"/>
        <v>100</v>
      </c>
      <c r="X9" s="1570"/>
      <c r="Y9" s="3600"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654"/>
      <c r="Q10" s="1151" t="str">
        <f t="shared" si="6"/>
        <v>土地使用年限（年）</v>
      </c>
      <c r="R10" s="1568" t="s">
        <v>8</v>
      </c>
      <c r="S10" s="1569">
        <f t="shared" si="0"/>
        <v>100</v>
      </c>
      <c r="T10" s="1568" t="s">
        <v>8</v>
      </c>
      <c r="U10" s="1569">
        <f t="shared" si="1"/>
        <v>100</v>
      </c>
      <c r="V10" s="1568" t="s">
        <v>8</v>
      </c>
      <c r="W10" s="1569">
        <f t="shared" si="2"/>
        <v>100</v>
      </c>
      <c r="X10" s="1570"/>
      <c r="Y10" s="3600"/>
      <c r="Z10" s="1150" t="str">
        <f t="shared" si="7"/>
        <v>土地使用年限（年）</v>
      </c>
      <c r="AA10" s="1571">
        <f t="shared" si="3"/>
        <v>1</v>
      </c>
      <c r="AB10" s="1571">
        <f t="shared" si="4"/>
        <v>1</v>
      </c>
      <c r="AC10" s="1571">
        <f t="shared" si="5"/>
        <v>1</v>
      </c>
    </row>
    <row r="11" spans="1:29" ht="15">
      <c r="A11" s="2942"/>
      <c r="B11" s="2946" t="s">
        <v>2765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654"/>
      <c r="Q11" s="1151" t="str">
        <f t="shared" si="6"/>
        <v>容积率</v>
      </c>
      <c r="R11" s="1568" t="s">
        <v>11</v>
      </c>
      <c r="S11" s="1569" t="e">
        <f t="shared" si="0"/>
        <v>#N/A</v>
      </c>
      <c r="T11" s="1568" t="s">
        <v>11</v>
      </c>
      <c r="U11" s="1569" t="e">
        <f t="shared" si="1"/>
        <v>#N/A</v>
      </c>
      <c r="V11" s="1568" t="s">
        <v>11</v>
      </c>
      <c r="W11" s="1569" t="e">
        <f t="shared" si="2"/>
        <v>#N/A</v>
      </c>
      <c r="X11" s="1570"/>
      <c r="Y11" s="3600"/>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654"/>
      <c r="Q12" s="1151">
        <f t="shared" si="6"/>
        <v>111</v>
      </c>
      <c r="R12" s="1568" t="s">
        <v>11</v>
      </c>
      <c r="S12" s="1569">
        <f t="shared" si="0"/>
        <v>100</v>
      </c>
      <c r="T12" s="1568" t="s">
        <v>11</v>
      </c>
      <c r="U12" s="1569">
        <f t="shared" si="1"/>
        <v>100</v>
      </c>
      <c r="V12" s="1568" t="s">
        <v>11</v>
      </c>
      <c r="W12" s="1569">
        <f t="shared" si="2"/>
        <v>100</v>
      </c>
      <c r="X12" s="1570"/>
      <c r="Y12" s="3600"/>
      <c r="Z12" s="1150">
        <f t="shared" si="7"/>
        <v>111</v>
      </c>
      <c r="AA12" s="1571">
        <f>D12/F12</f>
        <v>1</v>
      </c>
      <c r="AB12" s="1571">
        <f>D12/H12</f>
        <v>1</v>
      </c>
      <c r="AC12" s="1571">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654"/>
      <c r="Q13" s="1151">
        <f t="shared" si="6"/>
        <v>111</v>
      </c>
      <c r="R13" s="1568" t="s">
        <v>11</v>
      </c>
      <c r="S13" s="1569">
        <f t="shared" si="0"/>
        <v>100</v>
      </c>
      <c r="T13" s="1568" t="s">
        <v>11</v>
      </c>
      <c r="U13" s="1569">
        <f t="shared" si="1"/>
        <v>100</v>
      </c>
      <c r="V13" s="1568" t="s">
        <v>11</v>
      </c>
      <c r="W13" s="1569">
        <f t="shared" si="2"/>
        <v>100</v>
      </c>
      <c r="X13" s="1570"/>
      <c r="Y13" s="3600"/>
      <c r="Z13" s="1150">
        <f t="shared" si="7"/>
        <v>111</v>
      </c>
      <c r="AA13" s="1571">
        <f t="shared" si="3"/>
        <v>1</v>
      </c>
      <c r="AB13" s="1571">
        <f t="shared" si="4"/>
        <v>1</v>
      </c>
      <c r="AC13" s="1571">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654"/>
      <c r="Q14" s="1151">
        <f t="shared" si="6"/>
        <v>111</v>
      </c>
      <c r="R14" s="1568" t="s">
        <v>11</v>
      </c>
      <c r="S14" s="1569">
        <f t="shared" si="0"/>
        <v>100</v>
      </c>
      <c r="T14" s="1568" t="s">
        <v>11</v>
      </c>
      <c r="U14" s="1569">
        <f t="shared" si="1"/>
        <v>100</v>
      </c>
      <c r="V14" s="1568" t="s">
        <v>11</v>
      </c>
      <c r="W14" s="1569">
        <f t="shared" si="2"/>
        <v>100</v>
      </c>
      <c r="X14" s="1570"/>
      <c r="Y14" s="3600"/>
      <c r="Z14" s="1150">
        <f t="shared" si="7"/>
        <v>111</v>
      </c>
      <c r="AA14" s="1571">
        <f t="shared" si="3"/>
        <v>1</v>
      </c>
      <c r="AB14" s="1571">
        <f t="shared" si="4"/>
        <v>1</v>
      </c>
      <c r="AC14" s="1571">
        <f t="shared" si="5"/>
        <v>1</v>
      </c>
    </row>
    <row r="15" spans="1:29" ht="99.75">
      <c r="A15" s="2936" t="s">
        <v>2761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688" t="s">
        <v>541</v>
      </c>
      <c r="Q15" s="1572" t="str">
        <f t="shared" si="6"/>
        <v>居住社区成熟度</v>
      </c>
      <c r="R15" s="1573" t="s">
        <v>11</v>
      </c>
      <c r="S15" s="1574">
        <f t="shared" si="0"/>
        <v>100</v>
      </c>
      <c r="T15" s="1573" t="s">
        <v>11</v>
      </c>
      <c r="U15" s="1574">
        <f t="shared" si="1"/>
        <v>100</v>
      </c>
      <c r="V15" s="1573" t="s">
        <v>11</v>
      </c>
      <c r="W15" s="1574">
        <f t="shared" si="2"/>
        <v>100</v>
      </c>
      <c r="X15" s="1567"/>
      <c r="Y15" s="3688" t="s">
        <v>541</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689"/>
      <c r="Q16" s="1572"/>
      <c r="R16" s="1573"/>
      <c r="S16" s="1574"/>
      <c r="T16" s="1573"/>
      <c r="U16" s="1574"/>
      <c r="V16" s="1573"/>
      <c r="W16" s="1574"/>
      <c r="X16" s="1567"/>
      <c r="Y16" s="3689"/>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689"/>
      <c r="Q17" s="1572" t="str">
        <f>B17</f>
        <v>交通便捷度</v>
      </c>
      <c r="R17" s="1573" t="s">
        <v>11</v>
      </c>
      <c r="S17" s="1574">
        <f>F17</f>
        <v>100</v>
      </c>
      <c r="T17" s="1573" t="s">
        <v>11</v>
      </c>
      <c r="U17" s="1574">
        <f>H17</f>
        <v>100</v>
      </c>
      <c r="V17" s="1573" t="s">
        <v>11</v>
      </c>
      <c r="W17" s="1574">
        <f>J17</f>
        <v>100</v>
      </c>
      <c r="X17" s="1567"/>
      <c r="Y17" s="368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689"/>
      <c r="Q18" s="1572"/>
      <c r="R18" s="1573"/>
      <c r="S18" s="1574"/>
      <c r="T18" s="1573"/>
      <c r="U18" s="1574"/>
      <c r="V18" s="1573"/>
      <c r="W18" s="1574"/>
      <c r="X18" s="1567"/>
      <c r="Y18" s="3689"/>
      <c r="Z18" s="1575"/>
      <c r="AA18" s="1576">
        <v>1</v>
      </c>
      <c r="AB18" s="1576">
        <v>1</v>
      </c>
      <c r="AC18" s="1576">
        <v>1</v>
      </c>
    </row>
    <row r="19" spans="1:29" ht="42.75">
      <c r="A19" s="532"/>
      <c r="B19" s="2625"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689"/>
      <c r="Q19" s="1572" t="str">
        <f>B19</f>
        <v>公共配套设施</v>
      </c>
      <c r="R19" s="1573" t="s">
        <v>11</v>
      </c>
      <c r="S19" s="1574">
        <f>F19</f>
        <v>100</v>
      </c>
      <c r="T19" s="1573" t="s">
        <v>11</v>
      </c>
      <c r="U19" s="1574">
        <f>H19</f>
        <v>100</v>
      </c>
      <c r="V19" s="1573" t="s">
        <v>11</v>
      </c>
      <c r="W19" s="1574">
        <f>J19</f>
        <v>100</v>
      </c>
      <c r="X19" s="1567"/>
      <c r="Y19" s="3689"/>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689"/>
      <c r="Q20" s="1572"/>
      <c r="R20" s="1573"/>
      <c r="S20" s="1574"/>
      <c r="T20" s="1573"/>
      <c r="U20" s="1574"/>
      <c r="V20" s="1573"/>
      <c r="W20" s="1574"/>
      <c r="X20" s="1567"/>
      <c r="Y20" s="3689"/>
      <c r="Z20" s="1575"/>
      <c r="AA20" s="1576">
        <v>1</v>
      </c>
      <c r="AB20" s="1576">
        <v>1</v>
      </c>
      <c r="AC20" s="1576">
        <v>1</v>
      </c>
    </row>
    <row r="21" spans="1:29" ht="28.5">
      <c r="A21" s="532"/>
      <c r="B21" s="2618"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689"/>
      <c r="Q21" s="2604" t="str">
        <f>B21</f>
        <v>基础设施水平</v>
      </c>
      <c r="R21" s="1573" t="s">
        <v>11</v>
      </c>
      <c r="S21" s="1574">
        <f>F21</f>
        <v>100</v>
      </c>
      <c r="T21" s="1573" t="s">
        <v>11</v>
      </c>
      <c r="U21" s="1574">
        <f>H21</f>
        <v>100</v>
      </c>
      <c r="V21" s="1573" t="s">
        <v>11</v>
      </c>
      <c r="W21" s="1574">
        <f>J21</f>
        <v>100</v>
      </c>
      <c r="X21" s="2606"/>
      <c r="Y21" s="3689"/>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689"/>
      <c r="Q22" s="2604"/>
      <c r="R22" s="1573"/>
      <c r="S22" s="1574"/>
      <c r="T22" s="1573"/>
      <c r="U22" s="1574"/>
      <c r="V22" s="1573"/>
      <c r="W22" s="1574"/>
      <c r="X22" s="2606"/>
      <c r="Y22" s="3689"/>
      <c r="Z22" s="2605"/>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689"/>
      <c r="Q23" s="1572" t="str">
        <f>B23</f>
        <v>自然及人文环境</v>
      </c>
      <c r="R23" s="1573" t="s">
        <v>11</v>
      </c>
      <c r="S23" s="1574">
        <f>F23</f>
        <v>100</v>
      </c>
      <c r="T23" s="1573" t="s">
        <v>11</v>
      </c>
      <c r="U23" s="1574">
        <f>H23</f>
        <v>100</v>
      </c>
      <c r="V23" s="1573" t="s">
        <v>11</v>
      </c>
      <c r="W23" s="1574">
        <f>J23</f>
        <v>100</v>
      </c>
      <c r="X23" s="1567"/>
      <c r="Y23" s="3689"/>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689"/>
      <c r="Q24" s="1572"/>
      <c r="R24" s="1573"/>
      <c r="S24" s="1574"/>
      <c r="T24" s="1573"/>
      <c r="U24" s="1574"/>
      <c r="V24" s="1573"/>
      <c r="W24" s="1574"/>
      <c r="X24" s="1567"/>
      <c r="Y24" s="3689"/>
      <c r="Z24" s="1575"/>
      <c r="AA24" s="1576">
        <v>1</v>
      </c>
      <c r="AB24" s="1576">
        <v>1</v>
      </c>
      <c r="AC24" s="1576">
        <v>1</v>
      </c>
    </row>
    <row r="25" spans="1:29" ht="15">
      <c r="A25" s="532"/>
      <c r="B25" s="1896" t="s">
        <v>2260</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689"/>
      <c r="Q25" s="1572" t="str">
        <f t="shared" ref="Q25:Q46" si="11">B25</f>
        <v>楼层-1</v>
      </c>
      <c r="R25" s="1573" t="s">
        <v>11</v>
      </c>
      <c r="S25" s="1574">
        <f>F25</f>
        <v>100</v>
      </c>
      <c r="T25" s="1573" t="s">
        <v>11</v>
      </c>
      <c r="U25" s="1574">
        <f>H25</f>
        <v>100</v>
      </c>
      <c r="V25" s="1573" t="s">
        <v>11</v>
      </c>
      <c r="W25" s="1574">
        <f>J25</f>
        <v>100</v>
      </c>
      <c r="X25" s="1567"/>
      <c r="Y25" s="3689"/>
      <c r="Z25" s="1575" t="str">
        <f>Q25</f>
        <v>楼层-1</v>
      </c>
      <c r="AA25" s="1576">
        <f t="shared" si="3"/>
        <v>1</v>
      </c>
      <c r="AB25" s="1576">
        <f t="shared" si="4"/>
        <v>1</v>
      </c>
      <c r="AC25" s="1576">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689"/>
      <c r="Q26" s="1572" t="str">
        <f t="shared" si="11"/>
        <v>朝向</v>
      </c>
      <c r="R26" s="1573" t="s">
        <v>11</v>
      </c>
      <c r="S26" s="1574">
        <f>F26</f>
        <v>100</v>
      </c>
      <c r="T26" s="1573" t="s">
        <v>11</v>
      </c>
      <c r="U26" s="1574">
        <f>H26</f>
        <v>100</v>
      </c>
      <c r="V26" s="1573" t="s">
        <v>11</v>
      </c>
      <c r="W26" s="1574">
        <f>J26</f>
        <v>100</v>
      </c>
      <c r="X26" s="1567"/>
      <c r="Y26" s="3689"/>
      <c r="Z26" s="1575" t="str">
        <f>Q26</f>
        <v>朝向</v>
      </c>
      <c r="AA26" s="1576">
        <f t="shared" si="3"/>
        <v>1</v>
      </c>
      <c r="AB26" s="1576">
        <f t="shared" si="4"/>
        <v>1</v>
      </c>
      <c r="AC26" s="1576">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689"/>
      <c r="Q27" s="1151" t="str">
        <f t="shared" si="11"/>
        <v>道路级别</v>
      </c>
      <c r="R27" s="1568" t="s">
        <v>11</v>
      </c>
      <c r="S27" s="1569">
        <f>F27</f>
        <v>100</v>
      </c>
      <c r="T27" s="1568" t="s">
        <v>11</v>
      </c>
      <c r="U27" s="1569">
        <f>H27</f>
        <v>100</v>
      </c>
      <c r="V27" s="1568" t="s">
        <v>11</v>
      </c>
      <c r="W27" s="1569">
        <f>J27</f>
        <v>100</v>
      </c>
      <c r="X27" s="1570"/>
      <c r="Y27" s="3689"/>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689"/>
      <c r="Q28" s="1572">
        <f t="shared" si="11"/>
        <v>111</v>
      </c>
      <c r="R28" s="1573" t="s">
        <v>11</v>
      </c>
      <c r="S28" s="1574">
        <f t="shared" ref="S28:S46" si="12">F28</f>
        <v>100</v>
      </c>
      <c r="T28" s="1573" t="s">
        <v>11</v>
      </c>
      <c r="U28" s="1574">
        <f t="shared" ref="U28:U46" si="13">H28</f>
        <v>100</v>
      </c>
      <c r="V28" s="1573" t="s">
        <v>11</v>
      </c>
      <c r="W28" s="1574">
        <f t="shared" ref="W28:W46" si="14">J28</f>
        <v>100</v>
      </c>
      <c r="X28" s="1567"/>
      <c r="Y28" s="3689"/>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689"/>
      <c r="Q29" s="1572">
        <f t="shared" si="11"/>
        <v>111</v>
      </c>
      <c r="R29" s="1573" t="s">
        <v>11</v>
      </c>
      <c r="S29" s="1574">
        <f t="shared" si="12"/>
        <v>100</v>
      </c>
      <c r="T29" s="1573" t="s">
        <v>11</v>
      </c>
      <c r="U29" s="1574">
        <f t="shared" si="13"/>
        <v>100</v>
      </c>
      <c r="V29" s="1573" t="s">
        <v>11</v>
      </c>
      <c r="W29" s="1574">
        <f t="shared" si="14"/>
        <v>100</v>
      </c>
      <c r="X29" s="1567"/>
      <c r="Y29" s="368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689"/>
      <c r="Q30" s="1572">
        <f t="shared" si="11"/>
        <v>111</v>
      </c>
      <c r="R30" s="1573" t="s">
        <v>11</v>
      </c>
      <c r="S30" s="1574">
        <f t="shared" si="12"/>
        <v>100</v>
      </c>
      <c r="T30" s="1573" t="s">
        <v>11</v>
      </c>
      <c r="U30" s="1574">
        <f t="shared" si="13"/>
        <v>100</v>
      </c>
      <c r="V30" s="1573" t="s">
        <v>11</v>
      </c>
      <c r="W30" s="1574">
        <f t="shared" si="14"/>
        <v>100</v>
      </c>
      <c r="X30" s="1567"/>
      <c r="Y30" s="3689"/>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689"/>
      <c r="Q31" s="1572">
        <f t="shared" si="11"/>
        <v>111</v>
      </c>
      <c r="R31" s="1573" t="s">
        <v>11</v>
      </c>
      <c r="S31" s="1574">
        <f t="shared" si="12"/>
        <v>100</v>
      </c>
      <c r="T31" s="1573" t="s">
        <v>11</v>
      </c>
      <c r="U31" s="1574">
        <f t="shared" si="13"/>
        <v>100</v>
      </c>
      <c r="V31" s="1573" t="s">
        <v>11</v>
      </c>
      <c r="W31" s="1574">
        <f t="shared" si="14"/>
        <v>100</v>
      </c>
      <c r="X31" s="1567"/>
      <c r="Y31" s="3689"/>
      <c r="Z31" s="1575">
        <f t="shared" si="15"/>
        <v>111</v>
      </c>
      <c r="AA31" s="1576">
        <f t="shared" si="3"/>
        <v>1</v>
      </c>
      <c r="AB31" s="1576">
        <f t="shared" si="4"/>
        <v>1</v>
      </c>
      <c r="AC31" s="1576">
        <f t="shared" si="5"/>
        <v>1</v>
      </c>
    </row>
    <row r="32" spans="1:29" ht="15">
      <c r="A32" s="2933" t="s">
        <v>2762</v>
      </c>
      <c r="B32" s="172" t="s">
        <v>726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690" t="s">
        <v>551</v>
      </c>
      <c r="Q32" s="1572" t="str">
        <f t="shared" si="11"/>
        <v>建筑类型</v>
      </c>
      <c r="R32" s="1573" t="s">
        <v>11</v>
      </c>
      <c r="S32" s="1574">
        <f t="shared" si="12"/>
        <v>100</v>
      </c>
      <c r="T32" s="1573" t="s">
        <v>11</v>
      </c>
      <c r="U32" s="1574">
        <f t="shared" si="13"/>
        <v>100</v>
      </c>
      <c r="V32" s="1573" t="s">
        <v>11</v>
      </c>
      <c r="W32" s="1574">
        <f t="shared" si="14"/>
        <v>100</v>
      </c>
      <c r="X32" s="1567"/>
      <c r="Y32" s="3691" t="s">
        <v>551</v>
      </c>
      <c r="Z32" s="1575" t="str">
        <f t="shared" si="15"/>
        <v>建筑类型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691"/>
      <c r="Q33" s="1605" t="str">
        <f t="shared" si="11"/>
        <v>项目建筑规模</v>
      </c>
      <c r="R33" s="1577" t="s">
        <v>11</v>
      </c>
      <c r="S33" s="1578" t="e">
        <f t="shared" si="12"/>
        <v>#N/A</v>
      </c>
      <c r="T33" s="1577" t="s">
        <v>11</v>
      </c>
      <c r="U33" s="1578" t="e">
        <f t="shared" si="13"/>
        <v>#N/A</v>
      </c>
      <c r="V33" s="1577" t="s">
        <v>11</v>
      </c>
      <c r="W33" s="1578" t="e">
        <f t="shared" si="14"/>
        <v>#N/A</v>
      </c>
      <c r="X33" s="1579"/>
      <c r="Y33" s="3691"/>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691"/>
      <c r="Q34" s="1572" t="str">
        <f t="shared" si="11"/>
        <v>建筑结构</v>
      </c>
      <c r="R34" s="1573" t="s">
        <v>11</v>
      </c>
      <c r="S34" s="1574">
        <f t="shared" si="12"/>
        <v>100</v>
      </c>
      <c r="T34" s="1573" t="s">
        <v>11</v>
      </c>
      <c r="U34" s="1574">
        <f t="shared" si="13"/>
        <v>100</v>
      </c>
      <c r="V34" s="1573" t="s">
        <v>11</v>
      </c>
      <c r="W34" s="1574">
        <f t="shared" si="14"/>
        <v>100</v>
      </c>
      <c r="X34" s="1567"/>
      <c r="Y34" s="3691"/>
      <c r="Z34" s="1575" t="str">
        <f t="shared" si="15"/>
        <v>建筑结构</v>
      </c>
      <c r="AA34" s="1576">
        <f t="shared" si="3"/>
        <v>1</v>
      </c>
      <c r="AB34" s="1576">
        <f t="shared" si="4"/>
        <v>1</v>
      </c>
      <c r="AC34" s="1576">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691"/>
      <c r="Q35" s="1572" t="str">
        <f t="shared" si="11"/>
        <v>建筑品质</v>
      </c>
      <c r="R35" s="1573" t="s">
        <v>11</v>
      </c>
      <c r="S35" s="1574">
        <f t="shared" si="12"/>
        <v>100</v>
      </c>
      <c r="T35" s="1573" t="s">
        <v>11</v>
      </c>
      <c r="U35" s="1574">
        <f t="shared" si="13"/>
        <v>100</v>
      </c>
      <c r="V35" s="1573" t="s">
        <v>11</v>
      </c>
      <c r="W35" s="1574">
        <f t="shared" si="14"/>
        <v>100</v>
      </c>
      <c r="X35" s="1567"/>
      <c r="Y35" s="3691"/>
      <c r="Z35" s="1575" t="str">
        <f t="shared" si="15"/>
        <v>建筑品质</v>
      </c>
      <c r="AA35" s="1576">
        <f t="shared" si="3"/>
        <v>1</v>
      </c>
      <c r="AB35" s="1576">
        <f t="shared" si="4"/>
        <v>1</v>
      </c>
      <c r="AC35" s="1576">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691"/>
      <c r="Q36" s="1572" t="str">
        <f t="shared" si="11"/>
        <v>公共部分装修</v>
      </c>
      <c r="R36" s="1573" t="s">
        <v>11</v>
      </c>
      <c r="S36" s="1574">
        <f t="shared" si="12"/>
        <v>100</v>
      </c>
      <c r="T36" s="1573" t="s">
        <v>11</v>
      </c>
      <c r="U36" s="1574">
        <f t="shared" si="13"/>
        <v>100</v>
      </c>
      <c r="V36" s="1573" t="s">
        <v>11</v>
      </c>
      <c r="W36" s="1574">
        <f t="shared" si="14"/>
        <v>100</v>
      </c>
      <c r="X36" s="1567"/>
      <c r="Y36" s="3691"/>
      <c r="Z36" s="1575" t="str">
        <f t="shared" si="15"/>
        <v>公共部分装修</v>
      </c>
      <c r="AA36" s="1576">
        <f t="shared" si="3"/>
        <v>1</v>
      </c>
      <c r="AB36" s="1576">
        <f t="shared" si="4"/>
        <v>1</v>
      </c>
      <c r="AC36" s="1576">
        <f t="shared" si="5"/>
        <v>1</v>
      </c>
    </row>
    <row r="37" spans="1:29" s="1220" customFormat="1" ht="15">
      <c r="A37" s="600"/>
      <c r="B37" s="527" t="s">
        <v>731</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691"/>
      <c r="Q37" s="1151" t="str">
        <f t="shared" si="11"/>
        <v>成新度</v>
      </c>
      <c r="R37" s="1568" t="s">
        <v>11</v>
      </c>
      <c r="S37" s="1569" t="e">
        <f t="shared" si="12"/>
        <v>#N/A</v>
      </c>
      <c r="T37" s="1568" t="s">
        <v>11</v>
      </c>
      <c r="U37" s="1569" t="e">
        <f t="shared" si="13"/>
        <v>#N/A</v>
      </c>
      <c r="V37" s="1568" t="s">
        <v>11</v>
      </c>
      <c r="W37" s="1569" t="e">
        <f t="shared" si="14"/>
        <v>#N/A</v>
      </c>
      <c r="X37" s="1570"/>
      <c r="Y37" s="3691"/>
      <c r="Z37" s="1150" t="str">
        <f t="shared" si="15"/>
        <v>成新度</v>
      </c>
      <c r="AA37" s="1571" t="e">
        <f t="shared" si="3"/>
        <v>#N/A</v>
      </c>
      <c r="AB37" s="1571" t="e">
        <f t="shared" si="4"/>
        <v>#N/A</v>
      </c>
      <c r="AC37" s="1571" t="e">
        <f t="shared" si="5"/>
        <v>#N/A</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691" t="s">
        <v>551</v>
      </c>
      <c r="Q38" s="1572" t="str">
        <f t="shared" si="11"/>
        <v>物业管理</v>
      </c>
      <c r="R38" s="1573" t="s">
        <v>11</v>
      </c>
      <c r="S38" s="1574">
        <f t="shared" si="12"/>
        <v>100</v>
      </c>
      <c r="T38" s="1573" t="s">
        <v>11</v>
      </c>
      <c r="U38" s="1574">
        <f t="shared" si="13"/>
        <v>100</v>
      </c>
      <c r="V38" s="1573" t="s">
        <v>11</v>
      </c>
      <c r="W38" s="1574">
        <f t="shared" si="14"/>
        <v>100</v>
      </c>
      <c r="X38" s="1567"/>
      <c r="Y38" s="3691" t="s">
        <v>551</v>
      </c>
      <c r="Z38" s="1575" t="str">
        <f t="shared" si="15"/>
        <v>物业管理</v>
      </c>
      <c r="AA38" s="1576">
        <f t="shared" si="3"/>
        <v>1</v>
      </c>
      <c r="AB38" s="1576">
        <f t="shared" si="4"/>
        <v>1</v>
      </c>
      <c r="AC38" s="1576">
        <f t="shared" si="5"/>
        <v>1</v>
      </c>
    </row>
    <row r="39" spans="1:29" ht="15">
      <c r="A39" s="594"/>
      <c r="B39" s="1896" t="s">
        <v>2571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691"/>
      <c r="Q39" s="1572" t="str">
        <f t="shared" si="11"/>
        <v>市政基础设施</v>
      </c>
      <c r="R39" s="1573" t="s">
        <v>11</v>
      </c>
      <c r="S39" s="1574">
        <f t="shared" si="12"/>
        <v>100</v>
      </c>
      <c r="T39" s="1573" t="s">
        <v>11</v>
      </c>
      <c r="U39" s="1574">
        <f t="shared" si="13"/>
        <v>100</v>
      </c>
      <c r="V39" s="1573" t="s">
        <v>11</v>
      </c>
      <c r="W39" s="1574">
        <f t="shared" si="14"/>
        <v>100</v>
      </c>
      <c r="X39" s="1567"/>
      <c r="Y39" s="3691"/>
      <c r="Z39" s="1575" t="str">
        <f t="shared" si="15"/>
        <v>市政基础设施</v>
      </c>
      <c r="AA39" s="1576">
        <f t="shared" si="3"/>
        <v>1</v>
      </c>
      <c r="AB39" s="1576">
        <f t="shared" si="4"/>
        <v>1</v>
      </c>
      <c r="AC39" s="1576">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691"/>
      <c r="Q40" s="1572" t="str">
        <f t="shared" si="11"/>
        <v>房型</v>
      </c>
      <c r="R40" s="1573" t="s">
        <v>11</v>
      </c>
      <c r="S40" s="1574">
        <f t="shared" si="12"/>
        <v>100</v>
      </c>
      <c r="T40" s="1573" t="s">
        <v>11</v>
      </c>
      <c r="U40" s="1574">
        <f t="shared" si="13"/>
        <v>100</v>
      </c>
      <c r="V40" s="1573" t="s">
        <v>11</v>
      </c>
      <c r="W40" s="1574">
        <f t="shared" si="14"/>
        <v>100</v>
      </c>
      <c r="X40" s="1567"/>
      <c r="Y40" s="3691"/>
      <c r="Z40" s="1575" t="str">
        <f t="shared" si="15"/>
        <v>房型</v>
      </c>
      <c r="AA40" s="1576">
        <f t="shared" si="3"/>
        <v>1</v>
      </c>
      <c r="AB40" s="1576">
        <f t="shared" si="4"/>
        <v>1</v>
      </c>
      <c r="AC40" s="1576">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691"/>
      <c r="Q41" s="1605" t="str">
        <f t="shared" si="11"/>
        <v>单套/主力户型建筑面积</v>
      </c>
      <c r="R41" s="1577" t="s">
        <v>11</v>
      </c>
      <c r="S41" s="1578">
        <f t="shared" si="12"/>
        <v>100</v>
      </c>
      <c r="T41" s="1577" t="s">
        <v>11</v>
      </c>
      <c r="U41" s="1578">
        <f t="shared" si="13"/>
        <v>100</v>
      </c>
      <c r="V41" s="1577" t="s">
        <v>11</v>
      </c>
      <c r="W41" s="1578">
        <f t="shared" si="14"/>
        <v>100</v>
      </c>
      <c r="X41" s="1579"/>
      <c r="Y41" s="3691"/>
      <c r="Z41" s="1580" t="str">
        <f t="shared" si="15"/>
        <v>单套/主力户型建筑面积</v>
      </c>
      <c r="AA41" s="1576">
        <f t="shared" si="3"/>
        <v>1</v>
      </c>
      <c r="AB41" s="1576">
        <f t="shared" si="4"/>
        <v>1</v>
      </c>
      <c r="AC41" s="1576">
        <f t="shared" si="5"/>
        <v>1</v>
      </c>
    </row>
    <row r="42" spans="1:29" ht="15">
      <c r="A42" s="594"/>
      <c r="B42" s="527" t="s">
        <v>735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691"/>
      <c r="Q42" s="1572" t="str">
        <f t="shared" si="11"/>
        <v>内部装修</v>
      </c>
      <c r="R42" s="1573" t="s">
        <v>11</v>
      </c>
      <c r="S42" s="1574">
        <f t="shared" si="12"/>
        <v>100</v>
      </c>
      <c r="T42" s="1573" t="s">
        <v>11</v>
      </c>
      <c r="U42" s="1574">
        <f t="shared" si="13"/>
        <v>100</v>
      </c>
      <c r="V42" s="1573" t="s">
        <v>11</v>
      </c>
      <c r="W42" s="1574">
        <f t="shared" si="14"/>
        <v>100</v>
      </c>
      <c r="X42" s="1567"/>
      <c r="Y42" s="3691"/>
      <c r="Z42" s="1575" t="str">
        <f t="shared" si="15"/>
        <v>内部装修</v>
      </c>
      <c r="AA42" s="1576">
        <f t="shared" si="3"/>
        <v>1</v>
      </c>
      <c r="AB42" s="1576">
        <f t="shared" si="4"/>
        <v>1</v>
      </c>
      <c r="AC42" s="1576">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691"/>
      <c r="Q43" s="1572" t="str">
        <f t="shared" si="11"/>
        <v>内部装修维护情况</v>
      </c>
      <c r="R43" s="1573" t="s">
        <v>11</v>
      </c>
      <c r="S43" s="1574">
        <f t="shared" si="12"/>
        <v>100</v>
      </c>
      <c r="T43" s="1573" t="s">
        <v>11</v>
      </c>
      <c r="U43" s="1574">
        <f t="shared" si="13"/>
        <v>100</v>
      </c>
      <c r="V43" s="1573" t="s">
        <v>11</v>
      </c>
      <c r="W43" s="1574">
        <f t="shared" si="14"/>
        <v>100</v>
      </c>
      <c r="X43" s="1567"/>
      <c r="Y43" s="369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691"/>
      <c r="Q44" s="1151">
        <f t="shared" si="11"/>
        <v>111</v>
      </c>
      <c r="R44" s="1568" t="s">
        <v>11</v>
      </c>
      <c r="S44" s="1569">
        <f t="shared" si="12"/>
        <v>100</v>
      </c>
      <c r="T44" s="1568" t="s">
        <v>11</v>
      </c>
      <c r="U44" s="1569">
        <f t="shared" si="13"/>
        <v>100</v>
      </c>
      <c r="V44" s="1568" t="s">
        <v>11</v>
      </c>
      <c r="W44" s="1569">
        <f t="shared" si="14"/>
        <v>100</v>
      </c>
      <c r="X44" s="1570"/>
      <c r="Y44" s="369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691"/>
      <c r="Q45" s="1572">
        <f t="shared" si="11"/>
        <v>111</v>
      </c>
      <c r="R45" s="1573" t="s">
        <v>11</v>
      </c>
      <c r="S45" s="1574">
        <f t="shared" si="12"/>
        <v>100</v>
      </c>
      <c r="T45" s="1573" t="s">
        <v>11</v>
      </c>
      <c r="U45" s="1574">
        <f t="shared" si="13"/>
        <v>100</v>
      </c>
      <c r="V45" s="1573" t="s">
        <v>11</v>
      </c>
      <c r="W45" s="1574">
        <f t="shared" si="14"/>
        <v>100</v>
      </c>
      <c r="X45" s="1567"/>
      <c r="Y45" s="3691"/>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768"/>
      <c r="Q46" s="1572">
        <f t="shared" si="11"/>
        <v>111</v>
      </c>
      <c r="R46" s="1573" t="s">
        <v>10</v>
      </c>
      <c r="S46" s="1574">
        <f t="shared" si="12"/>
        <v>100</v>
      </c>
      <c r="T46" s="1573" t="s">
        <v>10</v>
      </c>
      <c r="U46" s="1574">
        <f t="shared" si="13"/>
        <v>100</v>
      </c>
      <c r="V46" s="1573" t="s">
        <v>10</v>
      </c>
      <c r="W46" s="1574">
        <f t="shared" si="14"/>
        <v>100</v>
      </c>
      <c r="X46" s="1567"/>
      <c r="Y46" s="3768"/>
      <c r="Z46" s="1575">
        <f t="shared" si="15"/>
        <v>111</v>
      </c>
      <c r="AA46" s="1576">
        <f t="shared" si="3"/>
        <v>1</v>
      </c>
      <c r="AB46" s="1576">
        <f t="shared" si="4"/>
        <v>1</v>
      </c>
      <c r="AC46" s="1576">
        <f t="shared" si="5"/>
        <v>1</v>
      </c>
    </row>
    <row r="47" spans="1:29" ht="15">
      <c r="A47" s="607" t="s">
        <v>737</v>
      </c>
      <c r="B47" s="887"/>
      <c r="C47" s="2652" t="s">
        <v>9</v>
      </c>
      <c r="D47" s="2653"/>
      <c r="E47" s="2654"/>
      <c r="F47" s="2655"/>
      <c r="G47" s="2656"/>
      <c r="H47" s="2657"/>
      <c r="I47" s="2654"/>
      <c r="J47" s="2657"/>
      <c r="K47" s="1606"/>
      <c r="L47" s="2145"/>
      <c r="M47" s="2146"/>
      <c r="N47" s="2135"/>
      <c r="O47" s="2146"/>
      <c r="P47" s="3654" t="str">
        <f>A47</f>
        <v>成交单价（元/平方米）</v>
      </c>
      <c r="Q47" s="3654"/>
      <c r="R47" s="3767">
        <f>E47</f>
        <v>0</v>
      </c>
      <c r="S47" s="3767"/>
      <c r="T47" s="3767">
        <f>G47</f>
        <v>0</v>
      </c>
      <c r="U47" s="3767"/>
      <c r="V47" s="3767">
        <f>I47</f>
        <v>0</v>
      </c>
      <c r="W47" s="3767"/>
      <c r="X47" s="1559"/>
      <c r="Y47" s="1581"/>
      <c r="Z47" s="1559"/>
      <c r="AA47" s="1559"/>
      <c r="AB47" s="1559"/>
      <c r="AC47" s="1559"/>
    </row>
    <row r="48" spans="1:29" ht="15.75" thickBot="1">
      <c r="A48" s="615" t="s">
        <v>2767</v>
      </c>
      <c r="B48" s="888"/>
      <c r="C48" s="2658" t="e">
        <f>R49</f>
        <v>#DIV/0!</v>
      </c>
      <c r="D48" s="2659"/>
      <c r="E48" s="2660" t="e">
        <f>R48</f>
        <v>#DIV/0!</v>
      </c>
      <c r="F48" s="2660"/>
      <c r="G48" s="2658" t="e">
        <f>T48</f>
        <v>#DIV/0!</v>
      </c>
      <c r="H48" s="2659"/>
      <c r="I48" s="2660" t="e">
        <f>V48</f>
        <v>#DIV/0!</v>
      </c>
      <c r="J48" s="2659"/>
      <c r="K48" s="1607"/>
      <c r="L48" s="2145"/>
      <c r="M48" s="2146"/>
      <c r="N48" s="2146"/>
      <c r="O48" s="2146"/>
      <c r="P48" s="3654" t="str">
        <f>A48</f>
        <v>比较价格（元/平方米）</v>
      </c>
      <c r="Q48" s="3654"/>
      <c r="R48" s="3767" t="e">
        <f>IF(F1="售价",ROUND(PRODUCT(R47,AA7:AA46),0),ROUND(PRODUCT(R47,AA7:AA46),1))</f>
        <v>#DIV/0!</v>
      </c>
      <c r="S48" s="3767"/>
      <c r="T48" s="3767" t="e">
        <f>IF(F1="售价",ROUND(PRODUCT(T47,AB7:AB46),0),ROUND(PRODUCT(T47,AB7:AB46),1))</f>
        <v>#DIV/0!</v>
      </c>
      <c r="U48" s="3767"/>
      <c r="V48" s="3767" t="e">
        <f>IF(F1="售价",ROUND(PRODUCT(V47,AC7:AC46),0),ROUND(PRODUCT(V47,AC7:AC46),1))</f>
        <v>#DIV/0!</v>
      </c>
      <c r="W48" s="3767"/>
      <c r="X48" s="1559"/>
      <c r="Y48" s="1559"/>
      <c r="Z48" s="1559"/>
      <c r="AA48" s="1559"/>
      <c r="AB48" s="1559"/>
      <c r="AC48" s="1559"/>
    </row>
    <row r="49" spans="1:29" ht="15.75" thickBot="1">
      <c r="A49" s="621" t="s">
        <v>2944</v>
      </c>
      <c r="B49" s="622"/>
      <c r="C49" s="2661" t="e">
        <f>R49</f>
        <v>#DIV/0!</v>
      </c>
      <c r="D49" s="2661"/>
      <c r="E49" s="2661"/>
      <c r="F49" s="2661"/>
      <c r="G49" s="2661"/>
      <c r="H49" s="2661"/>
      <c r="I49" s="2661"/>
      <c r="J49" s="2661"/>
      <c r="K49" s="1608"/>
      <c r="L49" s="2145"/>
      <c r="M49" s="2146"/>
      <c r="N49" s="2146"/>
      <c r="O49" s="2146"/>
      <c r="P49" s="3651" t="str">
        <f>A49</f>
        <v>估价对象XX用房的比较价格（楼面单价，元/平方米）</v>
      </c>
      <c r="Q49" s="3652"/>
      <c r="R49" s="3766" t="e">
        <f>IF(F1="售价",ROUND(AVERAGE(R48:V48),0),ROUND(AVERAGE(R48:V48),1))</f>
        <v>#DIV/0!</v>
      </c>
      <c r="S49" s="3766"/>
      <c r="T49" s="3766"/>
      <c r="U49" s="3766"/>
      <c r="V49" s="3766"/>
      <c r="W49" s="3766"/>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30" t="str">
        <f>YEAR(C7)&amp;"-"&amp;MONTH(C7)</f>
        <v>2018-3</v>
      </c>
      <c r="D58" s="2830">
        <f>EDATE(C58,-1)</f>
        <v>43132</v>
      </c>
      <c r="E58" s="2830">
        <f t="shared" ref="E58:O58" si="16">EDATE(D58,-1)</f>
        <v>43101</v>
      </c>
      <c r="F58" s="2830">
        <f t="shared" si="16"/>
        <v>43070</v>
      </c>
      <c r="G58" s="2830">
        <f t="shared" si="16"/>
        <v>43040</v>
      </c>
      <c r="H58" s="2830">
        <f t="shared" si="16"/>
        <v>43009</v>
      </c>
      <c r="I58" s="2830">
        <f t="shared" si="16"/>
        <v>42979</v>
      </c>
      <c r="J58" s="2830">
        <f t="shared" si="16"/>
        <v>42948</v>
      </c>
      <c r="K58" s="2830">
        <f t="shared" si="16"/>
        <v>42917</v>
      </c>
      <c r="L58" s="2830">
        <f t="shared" si="16"/>
        <v>42887</v>
      </c>
      <c r="M58" s="2830">
        <f t="shared" si="16"/>
        <v>42856</v>
      </c>
      <c r="N58" s="2830">
        <f t="shared" si="16"/>
        <v>42826</v>
      </c>
      <c r="O58" s="2830">
        <f t="shared" si="16"/>
        <v>42795</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2564</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2565</v>
      </c>
      <c r="C82" s="2623" t="s">
        <v>2566</v>
      </c>
      <c r="D82" s="2623" t="s">
        <v>2567</v>
      </c>
      <c r="E82" s="2623" t="s">
        <v>2568</v>
      </c>
      <c r="F82" s="2623" t="s">
        <v>2569</v>
      </c>
      <c r="G82" s="2623" t="s">
        <v>2570</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747</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748</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755</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734</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D8" sqref="D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5"/>
      <c r="C1" s="2105"/>
      <c r="D1" s="2105"/>
      <c r="E1" s="2105"/>
      <c r="F1" s="2105"/>
      <c r="G1" s="2105"/>
      <c r="H1" s="2105"/>
      <c r="I1" s="2105"/>
      <c r="J1" s="2105"/>
      <c r="K1" s="422">
        <f>MATCH(B1,'数据-取费表'!A6:A16,0)+5</f>
        <v>11</v>
      </c>
    </row>
    <row r="2" spans="1:31" s="2042" customFormat="1" ht="18" customHeight="1">
      <c r="A2" s="2102" t="s">
        <v>467</v>
      </c>
      <c r="B2" s="2106">
        <f ca="1">C36</f>
        <v>258303</v>
      </c>
      <c r="C2" s="2105"/>
      <c r="D2" s="2105"/>
      <c r="E2" s="2105"/>
      <c r="F2" s="2105"/>
      <c r="G2" s="2105"/>
      <c r="H2" s="2105"/>
      <c r="I2" s="2105"/>
      <c r="J2" s="2105"/>
      <c r="K2" s="2105"/>
    </row>
    <row r="3" spans="1:31" s="2042" customFormat="1" ht="18" customHeight="1">
      <c r="A3" s="2107" t="s">
        <v>1686</v>
      </c>
      <c r="B3" s="2108">
        <f ca="1">ROUND(B2*10000/IF(B1="",'数据-汇总表'!E3,INDIRECT("'数据-取费表'!K"&amp;$K$1)),0)</f>
        <v>5108</v>
      </c>
      <c r="C3" s="2105"/>
      <c r="D3" s="2105"/>
      <c r="E3" s="2105"/>
      <c r="F3" s="2105"/>
      <c r="G3" s="2105"/>
      <c r="H3" s="2105"/>
      <c r="I3" s="2105"/>
      <c r="J3" s="2105"/>
      <c r="K3" s="2105"/>
    </row>
    <row r="4" spans="1:31" s="2042" customFormat="1" ht="18" customHeight="1">
      <c r="A4" s="426" t="s">
        <v>468</v>
      </c>
      <c r="B4" s="427">
        <f ca="1">ROUND(B2*10000/IF(B1="",'数据-汇总表'!D3,INDIRECT("'数据-取费表'!R"&amp;$K$1)),0)</f>
        <v>37248</v>
      </c>
      <c r="C4" s="428"/>
      <c r="D4" s="422"/>
      <c r="E4" s="422"/>
      <c r="F4" s="422"/>
      <c r="G4" s="422"/>
      <c r="H4" s="422"/>
      <c r="I4" s="422"/>
      <c r="J4" s="422"/>
      <c r="K4" s="422"/>
    </row>
    <row r="5" spans="1:31" s="2042" customFormat="1" ht="18" customHeight="1" thickBot="1">
      <c r="A5" s="429"/>
      <c r="B5" s="430">
        <f ca="1">ROUND(B2/(IF(B1="",'数据-汇总表'!D3,INDIRECT("'数据-取费表'!R"&amp;$K$1))/666.67),0)</f>
        <v>2483</v>
      </c>
      <c r="C5" s="431" t="s">
        <v>469</v>
      </c>
      <c r="D5" s="422"/>
      <c r="E5" s="422"/>
      <c r="F5" s="422"/>
      <c r="G5" s="422"/>
      <c r="H5" s="422"/>
      <c r="I5" s="422"/>
      <c r="J5" s="422"/>
      <c r="K5" s="422"/>
    </row>
    <row r="6" spans="1:31" s="2112" customFormat="1" ht="16.5" customHeight="1">
      <c r="A6" s="2854" t="s">
        <v>1844</v>
      </c>
      <c r="B6" s="2855"/>
      <c r="C6" s="2856">
        <f>SUM(C10:K10)</f>
        <v>660228</v>
      </c>
      <c r="D6" s="2855"/>
      <c r="E6" s="2855"/>
      <c r="F6" s="2855"/>
      <c r="G6" s="2855"/>
      <c r="H6" s="2855"/>
      <c r="I6" s="2855"/>
      <c r="J6" s="2855"/>
      <c r="K6" s="2857"/>
    </row>
    <row r="7" spans="1:31" s="2114" customFormat="1" ht="15">
      <c r="A7" s="2858" t="s">
        <v>470</v>
      </c>
      <c r="B7" s="2859" t="s">
        <v>471</v>
      </c>
      <c r="C7" s="436" t="s">
        <v>3232</v>
      </c>
      <c r="D7" s="436" t="s">
        <v>1679</v>
      </c>
      <c r="E7" s="436" t="s">
        <v>3233</v>
      </c>
      <c r="F7" s="436" t="s">
        <v>3234</v>
      </c>
      <c r="G7" s="436" t="s">
        <v>35</v>
      </c>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2860">
        <v>20000</v>
      </c>
      <c r="D8" s="2860">
        <v>15000</v>
      </c>
      <c r="E8" s="2860">
        <v>15000</v>
      </c>
      <c r="F8" s="2860">
        <f>C8*0.5</f>
        <v>10000</v>
      </c>
      <c r="G8" s="2860">
        <v>3500</v>
      </c>
      <c r="H8" s="2860"/>
      <c r="I8" s="2860"/>
      <c r="J8" s="2860"/>
      <c r="K8" s="2861"/>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97478.52</v>
      </c>
      <c r="D9" s="441">
        <f>SUMIF('数据-汇总表'!$C19:$C33,'剩余法-待开发'!D7,'数据-汇总表'!$E19:$E33)</f>
        <v>279564.38</v>
      </c>
      <c r="E9" s="441">
        <f>SUMIF('数据-汇总表'!$C19:$C33,'剩余法-待开发'!E7,'数据-汇总表'!$E19:$E33)</f>
        <v>4028.9</v>
      </c>
      <c r="F9" s="441">
        <f>SUMIF('数据-汇总表'!$C19:$C33,'剩余法-待开发'!F7,'数据-汇总表'!$E19:$E33)</f>
        <v>14311</v>
      </c>
      <c r="G9" s="441">
        <f>SUMIF('数据-汇总表'!$C19:$C33,'剩余法-待开发'!G7,'数据-汇总表'!$E19:$E33)</f>
        <v>73057.8</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2" t="s">
        <v>1849</v>
      </c>
      <c r="B10" s="2848" t="s">
        <v>474</v>
      </c>
      <c r="C10" s="3055">
        <f>ROUND(C9*C8/10000,0)</f>
        <v>194957</v>
      </c>
      <c r="D10" s="3055">
        <f>ROUND(D9*D8/10000,0)</f>
        <v>419347</v>
      </c>
      <c r="E10" s="3055">
        <f>ROUND(E9*E8/10000,0)</f>
        <v>6043</v>
      </c>
      <c r="F10" s="3055">
        <f>ROUND(F9*F8/10000,0)</f>
        <v>14311</v>
      </c>
      <c r="G10" s="3055">
        <f>ROUND(G9*G8/10000,0)</f>
        <v>25570</v>
      </c>
      <c r="H10" s="2863"/>
      <c r="I10" s="2863"/>
      <c r="J10" s="2863"/>
      <c r="K10" s="2864"/>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5" t="s">
        <v>1845</v>
      </c>
      <c r="B11" s="2855"/>
      <c r="C11" s="2855"/>
      <c r="D11" s="2855"/>
      <c r="E11" s="2855"/>
      <c r="F11" s="2855"/>
      <c r="G11" s="2855"/>
      <c r="H11" s="2855"/>
      <c r="I11" s="2855"/>
      <c r="J11" s="2855"/>
      <c r="K11" s="2857"/>
    </row>
    <row r="12" spans="1:31" s="2086" customFormat="1" ht="13.5" customHeight="1">
      <c r="A12" s="2866" t="s">
        <v>470</v>
      </c>
      <c r="B12" s="2838" t="s">
        <v>471</v>
      </c>
      <c r="C12" s="2867" t="s">
        <v>475</v>
      </c>
      <c r="D12" s="2834" t="s">
        <v>476</v>
      </c>
      <c r="E12" s="2834" t="s">
        <v>477</v>
      </c>
      <c r="F12" s="2834" t="s">
        <v>478</v>
      </c>
      <c r="G12" s="2838"/>
      <c r="H12" s="2839"/>
      <c r="I12" s="2839"/>
      <c r="J12" s="2839"/>
      <c r="K12" s="2840"/>
    </row>
    <row r="13" spans="1:31" s="2117" customFormat="1" ht="13.5" customHeight="1">
      <c r="A13" s="2868" t="s">
        <v>1850</v>
      </c>
      <c r="B13" s="2869" t="s">
        <v>479</v>
      </c>
      <c r="C13" s="450">
        <f ca="1">IF(B1="",'数据-取费表'!P16,INDIRECT("'数据-取费表'!p"&amp;$K$1)+INDIRECT("'数据-取费表'!t"&amp;$K$1))</f>
        <v>168432</v>
      </c>
      <c r="D13" s="2870"/>
      <c r="E13" s="2871"/>
      <c r="F13" s="2872"/>
      <c r="G13" s="2838"/>
      <c r="H13" s="2839"/>
      <c r="I13" s="2839"/>
      <c r="J13" s="2839"/>
      <c r="K13" s="2840"/>
    </row>
    <row r="14" spans="1:31" s="2117" customFormat="1" ht="13.5" customHeight="1">
      <c r="A14" s="2868" t="s">
        <v>1851</v>
      </c>
      <c r="B14" s="2869" t="s">
        <v>480</v>
      </c>
      <c r="C14" s="53">
        <f ca="1">ROUND(C13*F14,0)</f>
        <v>5053</v>
      </c>
      <c r="D14" s="2870"/>
      <c r="E14" s="2871"/>
      <c r="F14" s="2873">
        <f>'数据-取费表'!B33</f>
        <v>0.03</v>
      </c>
      <c r="G14" s="2838" t="s">
        <v>481</v>
      </c>
      <c r="H14" s="2839"/>
      <c r="I14" s="2839"/>
      <c r="J14" s="2839"/>
      <c r="K14" s="2840"/>
    </row>
    <row r="15" spans="1:31" s="2117" customFormat="1" ht="13.5" customHeight="1">
      <c r="A15" s="2868" t="s">
        <v>1852</v>
      </c>
      <c r="B15" s="2869" t="s">
        <v>482</v>
      </c>
      <c r="C15" s="53">
        <f ca="1">ROUND(IF(B1="",SUMIF('数据-取费表'!C:C,"住宅",'数据-取费表'!P:P)*F15,IF(INDIRECT("'数据-取费表'!c"&amp;$K$1)="住宅",INDIRECT("'数据-取费表'!P"&amp;$K$1)*F15,0)),0)</f>
        <v>0</v>
      </c>
      <c r="D15" s="2870"/>
      <c r="E15" s="2871"/>
      <c r="F15" s="2873">
        <f>'数据-取费表'!B34</f>
        <v>0</v>
      </c>
      <c r="G15" s="2838" t="s">
        <v>483</v>
      </c>
      <c r="H15" s="2839"/>
      <c r="I15" s="2839"/>
      <c r="J15" s="2839"/>
      <c r="K15" s="2840"/>
    </row>
    <row r="16" spans="1:31" s="2118" customFormat="1" ht="13.5" customHeight="1">
      <c r="A16" s="2868" t="s">
        <v>1853</v>
      </c>
      <c r="B16" s="2869" t="s">
        <v>484</v>
      </c>
      <c r="C16" s="53">
        <f ca="1">ROUND(D16*E16/10000,0)</f>
        <v>10114</v>
      </c>
      <c r="D16" s="2870">
        <f ca="1">IF(B1="",'数据-汇总表'!E3,INDIRECT("'数据-取费表'!K"&amp;$K$1)+INDIRECT("'数据-取费表'!S"&amp;$K$1))</f>
        <v>505683.77</v>
      </c>
      <c r="E16" s="53">
        <f>'数据-取费表'!B35</f>
        <v>200</v>
      </c>
      <c r="F16" s="2873"/>
      <c r="G16" s="2838"/>
      <c r="H16" s="2839"/>
      <c r="I16" s="2839"/>
      <c r="J16" s="2839"/>
      <c r="K16" s="2840"/>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8" t="s">
        <v>1854</v>
      </c>
      <c r="B17" s="2869" t="s">
        <v>485</v>
      </c>
      <c r="C17" s="2874">
        <f ca="1">ROUND(C13*F17,0)</f>
        <v>2526</v>
      </c>
      <c r="D17" s="475"/>
      <c r="E17" s="2874"/>
      <c r="F17" s="2875">
        <f>'数据-取费表'!B36</f>
        <v>1.4999999999999999E-2</v>
      </c>
      <c r="G17" s="261" t="s">
        <v>486</v>
      </c>
      <c r="H17" s="2841"/>
      <c r="I17" s="2841"/>
      <c r="J17" s="2841"/>
      <c r="K17" s="279"/>
    </row>
    <row r="18" spans="1:14" s="2117" customFormat="1" ht="13.5" customHeight="1">
      <c r="A18" s="2876" t="s">
        <v>1855</v>
      </c>
      <c r="B18" s="2877" t="s">
        <v>487</v>
      </c>
      <c r="C18" s="2878">
        <f ca="1">SUM(C13:C17)</f>
        <v>186125</v>
      </c>
      <c r="D18" s="2879"/>
      <c r="E18" s="468"/>
      <c r="F18" s="468"/>
      <c r="G18" s="2842" t="s">
        <v>2435</v>
      </c>
      <c r="H18" s="2843"/>
      <c r="I18" s="2843"/>
      <c r="J18" s="2843"/>
      <c r="K18" s="2844"/>
    </row>
    <row r="19" spans="1:14" s="2117" customFormat="1" ht="13.5" customHeight="1">
      <c r="A19" s="2876" t="s">
        <v>1856</v>
      </c>
      <c r="B19" s="2877" t="s">
        <v>488</v>
      </c>
      <c r="C19" s="2834">
        <f ca="1">ROUND(D19*E19/10000,0)</f>
        <v>0</v>
      </c>
      <c r="D19" s="2880">
        <f ca="1">D16</f>
        <v>505683.77</v>
      </c>
      <c r="E19" s="2834">
        <f>'数据-取费表'!B32</f>
        <v>0</v>
      </c>
      <c r="F19" s="468"/>
      <c r="G19" s="2838" t="s">
        <v>489</v>
      </c>
      <c r="H19" s="2839"/>
      <c r="I19" s="2843"/>
      <c r="J19" s="2843"/>
      <c r="K19" s="2844"/>
    </row>
    <row r="20" spans="1:14" s="2117" customFormat="1" ht="13.5" customHeight="1">
      <c r="A20" s="2876" t="s">
        <v>1857</v>
      </c>
      <c r="B20" s="2877" t="s">
        <v>490</v>
      </c>
      <c r="C20" s="2834">
        <f ca="1">C21+C22-IF(B1="",'数据-取费表'!B29,IF(G20="已全部缴纳",C21+C22,H20))</f>
        <v>5310</v>
      </c>
      <c r="D20" s="2880"/>
      <c r="E20" s="2834"/>
      <c r="F20" s="2881"/>
      <c r="G20" s="3115"/>
      <c r="H20" s="2836"/>
      <c r="I20" s="2837" t="s">
        <v>2658</v>
      </c>
      <c r="J20" s="2843"/>
      <c r="K20" s="2844"/>
    </row>
    <row r="21" spans="1:14" s="2117" customFormat="1" ht="13.5" customHeight="1">
      <c r="A21" s="2868" t="s">
        <v>1858</v>
      </c>
      <c r="B21" s="2869" t="s">
        <v>491</v>
      </c>
      <c r="C21" s="53">
        <f ca="1">ROUND(D21*E21/10000,0)</f>
        <v>0</v>
      </c>
      <c r="D21" s="2870">
        <f ca="1">IF(B1="",'数据-汇总表'!E5,IF(INDIRECT("'数据-取费表'!c"&amp;$K$1)="住宅",INDIRECT("'数据-取费表'!k"&amp;$K$1),0))</f>
        <v>0</v>
      </c>
      <c r="E21" s="53">
        <f>'数据-取费表'!B27</f>
        <v>105</v>
      </c>
      <c r="F21" s="2873"/>
      <c r="G21" s="26"/>
      <c r="H21" s="51"/>
      <c r="I21" s="51"/>
      <c r="J21" s="51"/>
      <c r="K21" s="2845"/>
    </row>
    <row r="22" spans="1:14" s="2117" customFormat="1" ht="13.5" customHeight="1">
      <c r="A22" s="2868" t="s">
        <v>1859</v>
      </c>
      <c r="B22" s="2869" t="s">
        <v>492</v>
      </c>
      <c r="C22" s="53">
        <f ca="1">ROUND(D22*E22/10000,0)</f>
        <v>5310</v>
      </c>
      <c r="D22" s="2870">
        <f ca="1">IF(B1="",'数据-汇总表'!E6,IF(INDIRECT("'数据-取费表'!c"&amp;$K$1)="住宅",INDIRECT("'数据-取费表'!s"&amp;$K$1),INDIRECT("'数据-取费表'!k"&amp;$K$1)+INDIRECT("'数据-取费表'!s"&amp;$K$1)))</f>
        <v>505683.77</v>
      </c>
      <c r="E22" s="53">
        <f>'数据-取费表'!B28</f>
        <v>105</v>
      </c>
      <c r="F22" s="2873"/>
      <c r="G22" s="26"/>
      <c r="H22" s="51"/>
      <c r="I22" s="51"/>
      <c r="J22" s="51"/>
      <c r="K22" s="2845"/>
    </row>
    <row r="23" spans="1:14" s="2117" customFormat="1" ht="13.5" customHeight="1">
      <c r="A23" s="2876" t="s">
        <v>1860</v>
      </c>
      <c r="B23" s="3061" t="s">
        <v>2841</v>
      </c>
      <c r="C23" s="2878">
        <f ca="1">ROUND((C18+C19+C20)*F23,0)</f>
        <v>5743</v>
      </c>
      <c r="D23" s="468"/>
      <c r="E23" s="468"/>
      <c r="F23" s="2882">
        <f>'数据-取费表'!B37</f>
        <v>0.03</v>
      </c>
      <c r="G23" s="2838" t="s">
        <v>2436</v>
      </c>
      <c r="H23" s="2839"/>
      <c r="I23" s="2839"/>
      <c r="J23" s="2839"/>
      <c r="K23" s="2840"/>
      <c r="L23" s="2119"/>
      <c r="M23" s="2119"/>
      <c r="N23" s="2119"/>
    </row>
    <row r="24" spans="1:14" s="2117" customFormat="1" ht="13.5" customHeight="1">
      <c r="A24" s="2876" t="s">
        <v>1861</v>
      </c>
      <c r="B24" s="3061" t="s">
        <v>2844</v>
      </c>
      <c r="C24" s="2878">
        <f>ROUND(C6*F24,0)</f>
        <v>19807</v>
      </c>
      <c r="D24" s="475"/>
      <c r="E24" s="473"/>
      <c r="F24" s="2882">
        <f>'数据-取费表'!B38</f>
        <v>0.03</v>
      </c>
      <c r="G24" s="2847" t="s">
        <v>499</v>
      </c>
      <c r="H24" s="2841"/>
      <c r="I24" s="2841"/>
      <c r="J24" s="2841"/>
      <c r="K24" s="279"/>
      <c r="L24" s="2119"/>
      <c r="M24" s="2119"/>
      <c r="N24" s="2119"/>
    </row>
    <row r="25" spans="1:14" s="2120" customFormat="1" ht="13.5" customHeight="1">
      <c r="A25" s="2876" t="s">
        <v>1862</v>
      </c>
      <c r="B25" s="3061" t="s">
        <v>2842</v>
      </c>
      <c r="C25" s="467">
        <f>ROUND(F25/(1+'数据-取费表'!C42),4)</f>
        <v>2.9000000000000001E-2</v>
      </c>
      <c r="D25" s="462" t="s">
        <v>2836</v>
      </c>
      <c r="E25" s="469"/>
      <c r="F25" s="2882">
        <f>'数据-取费表'!B48+'数据-取费表'!B49</f>
        <v>3.0499999999999999E-2</v>
      </c>
      <c r="G25" s="2846" t="s">
        <v>2293</v>
      </c>
      <c r="H25" s="2839"/>
      <c r="I25" s="2839"/>
      <c r="J25" s="2839"/>
      <c r="K25" s="2840"/>
    </row>
    <row r="26" spans="1:14" s="2119" customFormat="1" ht="13.5" customHeight="1">
      <c r="A26" s="2876" t="s">
        <v>1863</v>
      </c>
      <c r="B26" s="3062" t="s">
        <v>2843</v>
      </c>
      <c r="C26" s="2883">
        <f ca="1">C28</f>
        <v>15642</v>
      </c>
      <c r="D26" s="467">
        <f ca="1">C27</f>
        <v>0.1537</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3"/>
      <c r="I26" s="2843"/>
      <c r="J26" s="2843"/>
      <c r="K26" s="2844"/>
    </row>
    <row r="27" spans="1:14" s="2121" customFormat="1" ht="13.5" customHeight="1">
      <c r="A27" s="803" t="s">
        <v>1858</v>
      </c>
      <c r="B27" s="2884" t="s">
        <v>496</v>
      </c>
      <c r="C27" s="2885">
        <f ca="1">ROUND(IF('数据-取费表'!B22&lt;=1,(1+C25)*F26*'数据-取费表'!B24,(1+C25)*(POWER((1+F26),'数据-取费表'!B24)-1)),4)</f>
        <v>0.1537</v>
      </c>
      <c r="D27" s="472"/>
      <c r="E27" s="473"/>
      <c r="F27" s="474"/>
      <c r="G27" s="2597" t="str">
        <f>IF('数据-取费表'!B22&lt;=1,"（1+取得税费率/(1+5%)）×年利率×建设期","（1+取得税费率）/(1+5%)×((1+年利率)^建设期-1)")</f>
        <v>（1+取得税费率）/(1+5%)×((1+年利率)^建设期-1)</v>
      </c>
      <c r="H27" s="2841"/>
      <c r="I27" s="2841"/>
      <c r="J27" s="2841"/>
      <c r="K27" s="279"/>
    </row>
    <row r="28" spans="1:14" s="2121" customFormat="1" ht="13.5" customHeight="1">
      <c r="A28" s="803" t="s">
        <v>1859</v>
      </c>
      <c r="B28" s="2884" t="s">
        <v>2845</v>
      </c>
      <c r="C28" s="2886">
        <f ca="1">ROUND(IF('数据-取费表'!B22&lt;=1,(C18+C19+C20+C23+C24)*F26*'数据-取费表'!B24/2,(C18+C19+C20+C23+C24)*(POWER((1+F26),'数据-取费表'!B24/2)-1)),0)</f>
        <v>15642</v>
      </c>
      <c r="D28" s="472"/>
      <c r="E28" s="473"/>
      <c r="F28" s="474"/>
      <c r="G28" s="2597" t="str">
        <f>IF('数据-取费表'!B22&lt;=1,"（1）-（4）项×年利率×建设期÷2","（1）-（4）项×((1+年利率)^(建设期÷2)-1)")</f>
        <v>（1）-（4）项×((1+年利率)^(建设期÷2)-1)</v>
      </c>
      <c r="H28" s="2841"/>
      <c r="I28" s="2841"/>
      <c r="J28" s="2841"/>
      <c r="K28" s="279"/>
    </row>
    <row r="29" spans="1:14" s="2121" customFormat="1" ht="13.5" customHeight="1">
      <c r="A29" s="2887" t="s">
        <v>1864</v>
      </c>
      <c r="B29" s="2877" t="s">
        <v>497</v>
      </c>
      <c r="C29" s="2878">
        <f>ROUND(C6*F29/(1+'数据-取费表'!C42),0)</f>
        <v>35212</v>
      </c>
      <c r="D29" s="468"/>
      <c r="E29" s="468"/>
      <c r="F29" s="3063">
        <f>'数据-取费表'!B41</f>
        <v>5.6000000000000001E-2</v>
      </c>
      <c r="G29" s="2847" t="s">
        <v>498</v>
      </c>
      <c r="H29" s="2839"/>
      <c r="I29" s="2839"/>
      <c r="J29" s="2839"/>
      <c r="K29" s="2840"/>
    </row>
    <row r="30" spans="1:14" s="2122" customFormat="1" ht="13.5" customHeight="1">
      <c r="A30" s="1635" t="s">
        <v>1865</v>
      </c>
      <c r="B30" s="2888" t="s">
        <v>500</v>
      </c>
      <c r="C30" s="2883">
        <f ca="1">C31</f>
        <v>267839</v>
      </c>
      <c r="D30" s="477">
        <f ca="1">C32</f>
        <v>0.1827</v>
      </c>
      <c r="E30" s="469" t="s">
        <v>495</v>
      </c>
      <c r="F30" s="471"/>
      <c r="G30" s="2838" t="s">
        <v>501</v>
      </c>
      <c r="H30" s="2839"/>
      <c r="I30" s="2839"/>
      <c r="J30" s="2839"/>
      <c r="K30" s="2840"/>
    </row>
    <row r="31" spans="1:14" s="2121" customFormat="1" ht="13.5" customHeight="1">
      <c r="A31" s="803" t="s">
        <v>1858</v>
      </c>
      <c r="B31" s="2884"/>
      <c r="C31" s="450">
        <f ca="1">C18+C19+C20+C23+C24+C26+C29</f>
        <v>267839</v>
      </c>
      <c r="D31" s="472"/>
      <c r="E31" s="473"/>
      <c r="F31" s="474"/>
      <c r="G31" s="261"/>
      <c r="H31" s="2841"/>
      <c r="I31" s="2841"/>
      <c r="J31" s="2841"/>
      <c r="K31" s="279"/>
    </row>
    <row r="32" spans="1:14" s="2121" customFormat="1" ht="13.5" customHeight="1">
      <c r="A32" s="803" t="s">
        <v>1859</v>
      </c>
      <c r="B32" s="2884"/>
      <c r="C32" s="53">
        <f ca="1">ROUND(C25+D26,4)</f>
        <v>0.1827</v>
      </c>
      <c r="D32" s="472"/>
      <c r="E32" s="473"/>
      <c r="F32" s="474"/>
      <c r="G32" s="261"/>
      <c r="H32" s="2841"/>
      <c r="I32" s="2841"/>
      <c r="J32" s="2841"/>
      <c r="K32" s="279"/>
    </row>
    <row r="33" spans="1:11" s="2123" customFormat="1" ht="13.5" customHeight="1">
      <c r="A33" s="3060" t="s">
        <v>2840</v>
      </c>
      <c r="B33" s="3058" t="s">
        <v>2838</v>
      </c>
      <c r="C33" s="478">
        <f ca="1">C35</f>
        <v>39057</v>
      </c>
      <c r="D33" s="467">
        <f ca="1">C34</f>
        <v>0.1852</v>
      </c>
      <c r="E33" s="469" t="s">
        <v>495</v>
      </c>
      <c r="F33" s="479">
        <f ca="1">IF(B1="",'数据-取费表'!Q16,INDIRECT("'数据-取费表'!q"&amp;$K$1))</f>
        <v>0.18</v>
      </c>
      <c r="G33" s="2842"/>
      <c r="H33" s="2843"/>
      <c r="I33" s="2843"/>
      <c r="J33" s="2843"/>
      <c r="K33" s="2844"/>
    </row>
    <row r="34" spans="1:11" s="2124" customFormat="1" ht="13.5" customHeight="1">
      <c r="A34" s="375" t="s">
        <v>1858</v>
      </c>
      <c r="B34" s="2889" t="s">
        <v>502</v>
      </c>
      <c r="C34" s="472">
        <f ca="1">ROUND((1+C25)*F33,4)</f>
        <v>0.1852</v>
      </c>
      <c r="D34" s="472"/>
      <c r="E34" s="473"/>
      <c r="F34" s="480"/>
      <c r="G34" s="261" t="s">
        <v>2294</v>
      </c>
      <c r="H34" s="2841"/>
      <c r="I34" s="2841"/>
      <c r="J34" s="2841"/>
      <c r="K34" s="279"/>
    </row>
    <row r="35" spans="1:11" s="2124" customFormat="1" ht="13.5" customHeight="1" thickBot="1">
      <c r="A35" s="1636" t="s">
        <v>1859</v>
      </c>
      <c r="B35" s="3059" t="s">
        <v>2846</v>
      </c>
      <c r="C35" s="1628">
        <f ca="1">ROUND((C18+C19+C20+C23+C24)*F33,0)</f>
        <v>39057</v>
      </c>
      <c r="D35" s="1629"/>
      <c r="E35" s="2890"/>
      <c r="F35" s="1630"/>
      <c r="G35" s="2848"/>
      <c r="H35" s="2849"/>
      <c r="I35" s="2849"/>
      <c r="J35" s="2849"/>
      <c r="K35" s="2850"/>
    </row>
    <row r="36" spans="1:11" s="2086" customFormat="1" ht="13.5" customHeight="1" thickBot="1">
      <c r="A36" s="284" t="s">
        <v>1846</v>
      </c>
      <c r="B36" s="2852"/>
      <c r="C36" s="2891">
        <f ca="1">ROUND((C6-C30-C33)/(1+D30+D33),0)</f>
        <v>258303</v>
      </c>
      <c r="D36" s="2852"/>
      <c r="E36" s="2852"/>
      <c r="F36" s="2852"/>
      <c r="G36" s="2851" t="s">
        <v>2847</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D20" sqref="D2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1679</v>
      </c>
      <c r="D1" s="3158" t="s">
        <v>3318</v>
      </c>
      <c r="E1" s="2412" t="s">
        <v>2379</v>
      </c>
      <c r="F1" s="2413">
        <f ca="1">J53</f>
        <v>33.049999999999997</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263881</v>
      </c>
      <c r="C2" s="2058"/>
      <c r="D2" s="2056"/>
      <c r="E2" s="2057"/>
      <c r="F2" s="2057"/>
      <c r="G2" s="1590"/>
      <c r="H2" s="2058"/>
      <c r="I2" s="2058"/>
      <c r="J2" s="2058"/>
      <c r="K2" s="2059"/>
      <c r="L2" s="2058"/>
      <c r="M2" s="2058"/>
    </row>
    <row r="3" spans="1:33" ht="18" customHeight="1" thickBot="1">
      <c r="A3" s="833" t="s">
        <v>1729</v>
      </c>
      <c r="B3" s="834">
        <f ca="1">IF(ISERROR(B2*10000/F43),0,ROUND(B2*10000/F43,0))</f>
        <v>9439</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2464</v>
      </c>
      <c r="C5" s="55">
        <f ca="1">C6+C10+C12</f>
        <v>17985</v>
      </c>
      <c r="D5" s="2521" t="s">
        <v>2467</v>
      </c>
      <c r="E5" s="2515"/>
      <c r="F5" s="2516"/>
      <c r="G5" s="1592"/>
      <c r="H5" s="781">
        <v>1</v>
      </c>
      <c r="I5" s="782" t="s">
        <v>2464</v>
      </c>
      <c r="J5" s="55">
        <f ca="1">J6+J10+J12</f>
        <v>0</v>
      </c>
      <c r="K5" s="2521" t="s">
        <v>2467</v>
      </c>
      <c r="L5" s="2515"/>
      <c r="M5" s="2516"/>
    </row>
    <row r="6" spans="1:33" ht="18" customHeight="1">
      <c r="A6" s="1831" t="s">
        <v>1826</v>
      </c>
      <c r="B6" s="3727" t="s">
        <v>2469</v>
      </c>
      <c r="C6" s="783">
        <f ca="1">ROUND(F6*F8*F7*(1-F9)/10000,0)</f>
        <v>17959</v>
      </c>
      <c r="D6" s="2522" t="s">
        <v>2468</v>
      </c>
      <c r="E6" s="784" t="s">
        <v>1740</v>
      </c>
      <c r="F6" s="785">
        <f ca="1">INDIRECT("'数据-取费表'!u"&amp;$G$1)</f>
        <v>2</v>
      </c>
      <c r="G6" s="1592"/>
      <c r="H6" s="2529" t="s">
        <v>2475</v>
      </c>
      <c r="I6" s="3727" t="s">
        <v>2469</v>
      </c>
      <c r="J6" s="783">
        <f ca="1">ROUND(M6*M8*M7*(1-M9)/10000,0)</f>
        <v>0</v>
      </c>
      <c r="K6" s="341" t="s">
        <v>1739</v>
      </c>
      <c r="L6" s="784" t="s">
        <v>1740</v>
      </c>
      <c r="M6" s="785">
        <f ca="1">INDIRECT("'数据-取费表'!z"&amp;$G$1)</f>
        <v>0</v>
      </c>
    </row>
    <row r="7" spans="1:33" ht="18" customHeight="1">
      <c r="A7" s="2525"/>
      <c r="B7" s="3728"/>
      <c r="C7" s="788"/>
      <c r="D7" s="789"/>
      <c r="E7" s="784" t="s">
        <v>1741</v>
      </c>
      <c r="F7" s="785">
        <f ca="1">IF(INDIRECT("'数据-取费表'!ah"&amp;$G$1)="",INDIRECT("'数据-取费表'!k"&amp;$G$1),INDIRECT("'数据-取费表'!ah"&amp;$G$1))</f>
        <v>279564.38</v>
      </c>
      <c r="G7" s="1592"/>
      <c r="H7" s="2514"/>
      <c r="I7" s="3728"/>
      <c r="J7" s="788"/>
      <c r="K7" s="789"/>
      <c r="L7" s="784" t="s">
        <v>1741</v>
      </c>
      <c r="M7" s="785">
        <f ca="1">F7</f>
        <v>279564.38</v>
      </c>
    </row>
    <row r="8" spans="1:33" ht="18" customHeight="1">
      <c r="A8" s="2518"/>
      <c r="B8" s="3729"/>
      <c r="C8" s="788"/>
      <c r="D8" s="789"/>
      <c r="E8" s="784" t="s">
        <v>1742</v>
      </c>
      <c r="F8" s="785">
        <f ca="1">INDIRECT("'数据-取费表'!ai"&amp;$G$1)</f>
        <v>365</v>
      </c>
      <c r="G8" s="1592"/>
      <c r="H8" s="2514"/>
      <c r="I8" s="3729"/>
      <c r="J8" s="788"/>
      <c r="K8" s="789"/>
      <c r="L8" s="784" t="s">
        <v>1742</v>
      </c>
      <c r="M8" s="785">
        <f ca="1">INDIRECT("'数据-取费表'!ai"&amp;$G$1)</f>
        <v>365</v>
      </c>
    </row>
    <row r="9" spans="1:33" ht="18" customHeight="1">
      <c r="A9" s="786"/>
      <c r="B9" s="3730"/>
      <c r="C9" s="788"/>
      <c r="D9" s="789"/>
      <c r="E9" s="784" t="s">
        <v>1743</v>
      </c>
      <c r="F9" s="794">
        <f ca="1">INDIRECT("'数据-取费表'!w"&amp;$G$1)</f>
        <v>0.12</v>
      </c>
      <c r="G9" s="1592"/>
      <c r="H9" s="2530"/>
      <c r="I9" s="3729"/>
      <c r="J9" s="788"/>
      <c r="K9" s="789"/>
      <c r="L9" s="795" t="s">
        <v>1743</v>
      </c>
      <c r="M9" s="796">
        <f ca="1">INDIRECT("'数据-取费表'!ab"&amp;$G$1)</f>
        <v>0</v>
      </c>
    </row>
    <row r="10" spans="1:33" ht="18" customHeight="1">
      <c r="A10" s="1831" t="s">
        <v>2473</v>
      </c>
      <c r="B10" s="2519" t="s">
        <v>2465</v>
      </c>
      <c r="C10" s="799">
        <f ca="1">ROUND(IF(F10="押一",F6*F8*F7/12*F11,IF(F10="押二",F6*F8*F7/12*2*F11,IF(F10="押三",F6*F8*F7/12*3*F11,C11*F11)))/10000,0)</f>
        <v>26</v>
      </c>
      <c r="D10" s="2526" t="s">
        <v>2472</v>
      </c>
      <c r="E10" s="2523" t="s">
        <v>2470</v>
      </c>
      <c r="F10" s="2646" t="s">
        <v>3316</v>
      </c>
      <c r="G10" s="1592"/>
      <c r="H10" s="2586" t="s">
        <v>2476</v>
      </c>
      <c r="I10" s="2591" t="s">
        <v>2465</v>
      </c>
      <c r="J10" s="783">
        <f ca="1">ROUND(IF(M10="押一",M6*M8*M7/12*M11,IF(M10="押二",M6*M8*M7/12*2*M11,IF(M10="押三",M6*M8*M7/12*3*M11,J11*M11)))/10000,0)</f>
        <v>0</v>
      </c>
      <c r="K10" s="2526" t="s">
        <v>2472</v>
      </c>
      <c r="L10" s="2523" t="s">
        <v>2470</v>
      </c>
      <c r="M10" s="2646"/>
    </row>
    <row r="11" spans="1:33" ht="18" customHeight="1">
      <c r="A11" s="790"/>
      <c r="B11" s="2520" t="s">
        <v>2580</v>
      </c>
      <c r="C11" s="2524"/>
      <c r="D11" s="789"/>
      <c r="E11" s="2523" t="s">
        <v>2471</v>
      </c>
      <c r="F11" s="796">
        <f ca="1">'数据-取费表'!B39</f>
        <v>1.4999999999999999E-2</v>
      </c>
      <c r="G11" s="1592"/>
      <c r="H11" s="2587"/>
      <c r="I11" s="2520" t="s">
        <v>2580</v>
      </c>
      <c r="J11" s="2524"/>
      <c r="K11" s="2588"/>
      <c r="L11" s="2523" t="s">
        <v>2471</v>
      </c>
      <c r="M11" s="2517">
        <f ca="1">'数据-取费表'!B39</f>
        <v>1.4999999999999999E-2</v>
      </c>
    </row>
    <row r="12" spans="1:33" ht="18" customHeight="1" thickBot="1">
      <c r="A12" s="2562" t="s">
        <v>2474</v>
      </c>
      <c r="B12" s="2563" t="s">
        <v>2466</v>
      </c>
      <c r="C12" s="2564"/>
      <c r="D12" s="2565"/>
      <c r="E12" s="2566"/>
      <c r="F12" s="2567"/>
      <c r="G12" s="1592"/>
      <c r="H12" s="2576" t="s">
        <v>2477</v>
      </c>
      <c r="I12" s="2589" t="s">
        <v>2466</v>
      </c>
      <c r="J12" s="2590"/>
      <c r="K12" s="2565"/>
      <c r="L12" s="2566"/>
      <c r="M12" s="2579"/>
    </row>
    <row r="13" spans="1:33" ht="18" customHeight="1" thickTop="1">
      <c r="A13" s="1830">
        <v>2</v>
      </c>
      <c r="B13" s="1828" t="s">
        <v>1744</v>
      </c>
      <c r="C13" s="792">
        <f ca="1">ROUND(C29*F13,0)</f>
        <v>183269</v>
      </c>
      <c r="D13" s="1835" t="s">
        <v>2301</v>
      </c>
      <c r="E13" s="1835" t="s">
        <v>1746</v>
      </c>
      <c r="F13" s="2561">
        <f ca="1">INDIRECT("'数据-取费表'!y"&amp;$G$1)</f>
        <v>1</v>
      </c>
      <c r="G13" s="1592"/>
      <c r="H13" s="1830">
        <v>2</v>
      </c>
      <c r="I13" s="1828" t="s">
        <v>1744</v>
      </c>
      <c r="J13" s="1820">
        <f ca="1">ROUND(J14*J15,0)</f>
        <v>0</v>
      </c>
      <c r="K13" s="1822" t="s">
        <v>1745</v>
      </c>
      <c r="L13" s="2577"/>
      <c r="M13" s="2578"/>
    </row>
    <row r="14" spans="1:33" ht="18" customHeight="1">
      <c r="A14" s="1648" t="s">
        <v>1886</v>
      </c>
      <c r="B14" s="784" t="s">
        <v>646</v>
      </c>
      <c r="C14" s="804">
        <f ca="1">INDIRECT("'数据-取费表'!m"&amp;$G$1)+INDIRECT("'数据-取费表'!t"&amp;$G$1)</f>
        <v>115827</v>
      </c>
      <c r="D14" s="1980" t="s">
        <v>1747</v>
      </c>
      <c r="E14" s="1981"/>
      <c r="F14" s="805"/>
      <c r="G14" s="1592"/>
      <c r="H14" s="1649" t="s">
        <v>1832</v>
      </c>
      <c r="I14" s="2232" t="s">
        <v>2833</v>
      </c>
      <c r="J14" s="53">
        <f ca="1">C29</f>
        <v>183269</v>
      </c>
      <c r="K14" s="26"/>
      <c r="L14" s="801"/>
      <c r="M14" s="802"/>
    </row>
    <row r="15" spans="1:33" s="2065" customFormat="1" ht="18" customHeight="1" thickBot="1">
      <c r="A15" s="1648" t="s">
        <v>1887</v>
      </c>
      <c r="B15" s="784" t="s">
        <v>648</v>
      </c>
      <c r="C15" s="53">
        <f ca="1">ROUND(C14*F15,0)</f>
        <v>3475</v>
      </c>
      <c r="D15" s="806" t="s">
        <v>1748</v>
      </c>
      <c r="E15" s="806" t="s">
        <v>1749</v>
      </c>
      <c r="F15" s="807">
        <f>'数据-取费表'!B33</f>
        <v>0.03</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4339</v>
      </c>
      <c r="K16" s="1822" t="s">
        <v>1752</v>
      </c>
      <c r="L16" s="2511"/>
      <c r="M16" s="2516"/>
    </row>
    <row r="17" spans="1:33" s="2065" customFormat="1" ht="18" customHeight="1">
      <c r="A17" s="1648" t="s">
        <v>1889</v>
      </c>
      <c r="B17" s="784" t="s">
        <v>654</v>
      </c>
      <c r="C17" s="53">
        <f ca="1">ROUND(F17*(F43+INDIRECT("'数据-取费表'!S"&amp;$G$1))/10000,0)</f>
        <v>6036</v>
      </c>
      <c r="D17" s="784" t="s">
        <v>1753</v>
      </c>
      <c r="E17" s="784" t="s">
        <v>1754</v>
      </c>
      <c r="F17" s="56">
        <f>'数据-取费表'!B35</f>
        <v>200</v>
      </c>
      <c r="G17" s="1593"/>
      <c r="H17" s="1649" t="s">
        <v>1832</v>
      </c>
      <c r="I17" s="784" t="s">
        <v>657</v>
      </c>
      <c r="J17" s="53">
        <f ca="1">ROUND(IF(项目基本情况!B11="自然人",J5*M17,J18+J19+J20),0)</f>
        <v>1590</v>
      </c>
      <c r="K17" s="2510" t="s">
        <v>1755</v>
      </c>
      <c r="L17" s="2509" t="s">
        <v>1756</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1737</v>
      </c>
      <c r="D18" s="784" t="s">
        <v>1748</v>
      </c>
      <c r="E18" s="784" t="s">
        <v>1749</v>
      </c>
      <c r="F18" s="809">
        <f>'数据-取费表'!B36</f>
        <v>1.4999999999999999E-2</v>
      </c>
      <c r="G18" s="1593"/>
      <c r="H18" s="1648" t="s">
        <v>1886</v>
      </c>
      <c r="I18" s="784" t="s">
        <v>1757</v>
      </c>
      <c r="J18" s="53">
        <f ca="1">ROUND(J5*M18/1.05,1)</f>
        <v>0</v>
      </c>
      <c r="K18" s="2509"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f ca="1">SUM(C14:C18)</f>
        <v>127075</v>
      </c>
      <c r="D19" s="261" t="s">
        <v>1759</v>
      </c>
      <c r="E19" s="1983"/>
      <c r="F19" s="56"/>
      <c r="G19" s="1592"/>
      <c r="H19" s="1648" t="s">
        <v>1887</v>
      </c>
      <c r="I19" s="784" t="s">
        <v>1760</v>
      </c>
      <c r="J19" s="53">
        <f ca="1">IF(K19="按租金收入计税",ROUND(J5*M19,1),ROUND(C29*F33*0.7,1))</f>
        <v>1539.5</v>
      </c>
      <c r="K19" s="811" t="s">
        <v>666</v>
      </c>
      <c r="L19" s="784" t="s">
        <v>1749</v>
      </c>
      <c r="M19" s="809">
        <f>IF(K19="按租金收入计税",'数据-取费表'!B51,'数据-取费表'!B50)</f>
        <v>1.2E-2</v>
      </c>
    </row>
    <row r="20" spans="1:33" s="2065" customFormat="1" ht="18" customHeight="1">
      <c r="A20" s="1649" t="s">
        <v>1891</v>
      </c>
      <c r="B20" s="784" t="s">
        <v>667</v>
      </c>
      <c r="C20" s="53">
        <f ca="1">ROUND(C19*F20,0)</f>
        <v>3812</v>
      </c>
      <c r="D20" s="812" t="s">
        <v>1761</v>
      </c>
      <c r="E20" s="784" t="s">
        <v>1749</v>
      </c>
      <c r="F20" s="809">
        <f>'数据-取费表'!B37</f>
        <v>0.03</v>
      </c>
      <c r="G20" s="1593"/>
      <c r="H20" s="1651" t="s">
        <v>1882</v>
      </c>
      <c r="I20" s="341" t="s">
        <v>1762</v>
      </c>
      <c r="J20" s="54">
        <f ca="1">ROUND(M20*M21/10000,0)</f>
        <v>50</v>
      </c>
      <c r="K20" s="814" t="s">
        <v>1763</v>
      </c>
      <c r="L20" s="784" t="s">
        <v>1764</v>
      </c>
      <c r="M20" s="640">
        <f>'数据-取费表'!B52</f>
        <v>12</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2302</v>
      </c>
      <c r="E21" s="784" t="s">
        <v>1767</v>
      </c>
      <c r="F21" s="809">
        <f>'数据-取费表'!B38</f>
        <v>0.03</v>
      </c>
      <c r="G21" s="1593"/>
      <c r="H21" s="2531"/>
      <c r="I21" s="793"/>
      <c r="J21" s="69"/>
      <c r="K21" s="816"/>
      <c r="L21" s="784" t="s">
        <v>1768</v>
      </c>
      <c r="M21" s="785">
        <f ca="1">INDIRECT("'数据-取费表'!r"&amp;$G$1)</f>
        <v>41386.450000000004</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1983"/>
      <c r="F22" s="56"/>
      <c r="G22" s="1592"/>
      <c r="H22" s="1649" t="s">
        <v>1891</v>
      </c>
      <c r="I22" s="784" t="s">
        <v>1770</v>
      </c>
      <c r="J22" s="53">
        <f ca="1">ROUND(J14*M22,0)</f>
        <v>2749</v>
      </c>
      <c r="K22" s="2509" t="s">
        <v>1771</v>
      </c>
      <c r="L22" s="784" t="s">
        <v>1749</v>
      </c>
      <c r="M22" s="817">
        <f ca="1">INDIRECT("'数据-取费表'!Ak"&amp;$G$1)</f>
        <v>1.4999999999999999E-2</v>
      </c>
    </row>
    <row r="23" spans="1:33" s="2065" customFormat="1" ht="18" customHeight="1">
      <c r="A23" s="1648" t="s">
        <v>1833</v>
      </c>
      <c r="B23" s="784" t="s">
        <v>2542</v>
      </c>
      <c r="C23" s="53">
        <f ca="1">ROUND(IF('数据-取费表'!B22&lt;=1,(C19+C20)*F24*F23/2,(C19+C20)*(POWER((1+F24),F23/2)-1)),0)</f>
        <v>9436</v>
      </c>
      <c r="D23" s="2596" t="str">
        <f>IF(F23&lt;=1,"(建造成本+管理费用)×利率×(建设周期÷2)","(建造成本+管理费用)×((1+利率)^(建设周期÷2)-1)")</f>
        <v>(建造成本+管理费用)×((1+利率)^(建设周期÷2)-1)</v>
      </c>
      <c r="E23" s="784" t="s">
        <v>1772</v>
      </c>
      <c r="F23" s="640">
        <f>'数据-取费表'!B20</f>
        <v>3</v>
      </c>
      <c r="G23" s="1593"/>
      <c r="H23" s="1649" t="s">
        <v>1892</v>
      </c>
      <c r="I23" s="784" t="s">
        <v>680</v>
      </c>
      <c r="J23" s="53">
        <f ca="1">ROUND(J13*M23,0)</f>
        <v>0</v>
      </c>
      <c r="K23" s="2509"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2.2000000000000001E-3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0.02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1983"/>
      <c r="F25" s="56"/>
      <c r="G25" s="1592"/>
      <c r="H25" s="1830" t="s">
        <v>1778</v>
      </c>
      <c r="I25" s="3036" t="s">
        <v>2829</v>
      </c>
      <c r="J25" s="792">
        <f ca="1">J5-J16</f>
        <v>-4339</v>
      </c>
      <c r="K25" s="2573" t="s">
        <v>1779</v>
      </c>
      <c r="L25" s="2574"/>
      <c r="M25" s="2575"/>
    </row>
    <row r="26" spans="1:33" ht="18" customHeight="1">
      <c r="A26" s="1648" t="s">
        <v>1833</v>
      </c>
      <c r="B26" s="784" t="s">
        <v>2443</v>
      </c>
      <c r="C26" s="53">
        <f ca="1">ROUND((C19+C20)*F26,0)</f>
        <v>26177</v>
      </c>
      <c r="D26" s="812" t="s">
        <v>1780</v>
      </c>
      <c r="E26" s="795" t="s">
        <v>1781</v>
      </c>
      <c r="F26" s="794">
        <f ca="1">INDIRECT("'数据-取费表'!q"&amp;$G$1)</f>
        <v>0.2</v>
      </c>
      <c r="G26" s="1592"/>
      <c r="H26" s="2527" t="s">
        <v>1782</v>
      </c>
      <c r="I26" s="2233" t="s">
        <v>2834</v>
      </c>
      <c r="J26" s="783">
        <f ca="1">IF(J5&lt;&gt;0,ROUND(J25*(1-((1+M28)/(1+M26))^M27)/(M26-M28),0),0)</f>
        <v>0</v>
      </c>
      <c r="K26" s="814" t="s">
        <v>1783</v>
      </c>
      <c r="L26" s="784" t="s">
        <v>2424</v>
      </c>
      <c r="M26" s="794">
        <f ca="1">INDIRECT("'数据-取费表'!I"&amp;$G$1)</f>
        <v>5.5E-2</v>
      </c>
    </row>
    <row r="27" spans="1:33" ht="18" customHeight="1">
      <c r="A27" s="1648" t="s">
        <v>1834</v>
      </c>
      <c r="B27" s="784" t="s">
        <v>687</v>
      </c>
      <c r="C27" s="53">
        <f ca="1">ROUND(F21*F26,4)</f>
        <v>6.0000000000000001E-3</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2303</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f ca="1">ROUND((C19+C20+C23+C26)/(1-F21-C24-C27-C28),0)</f>
        <v>183269</v>
      </c>
      <c r="D29" s="2570"/>
      <c r="E29" s="2571"/>
      <c r="F29" s="2572"/>
      <c r="G29" s="1593"/>
      <c r="H29" s="823" t="s">
        <v>1789</v>
      </c>
      <c r="I29" s="824" t="s">
        <v>1790</v>
      </c>
      <c r="J29" s="825">
        <f ca="1">ROUND(J26/(1+F40)^F41,0)</f>
        <v>0</v>
      </c>
      <c r="K29" s="826" t="s">
        <v>1791</v>
      </c>
      <c r="L29" s="827"/>
      <c r="M29" s="828">
        <f ca="1">INDIRECT("'数据-取费表'!k"&amp;$G$1)</f>
        <v>279564.38</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2">
        <f ca="1">ROUND(C31+C36+C37+C38,0)</f>
        <v>5932</v>
      </c>
      <c r="D30" s="1822" t="s">
        <v>1793</v>
      </c>
      <c r="E30" s="2511"/>
      <c r="F30" s="2516"/>
      <c r="G30" s="2063"/>
      <c r="H30" s="2066"/>
      <c r="I30" s="2067"/>
      <c r="J30" s="2068"/>
      <c r="K30" s="2069"/>
      <c r="L30" s="2070"/>
      <c r="M30" s="2071"/>
    </row>
    <row r="31" spans="1:33" ht="18" customHeight="1">
      <c r="A31" s="1649" t="s">
        <v>1832</v>
      </c>
      <c r="B31" s="784" t="s">
        <v>657</v>
      </c>
      <c r="C31" s="53">
        <f ca="1">ROUND(IF(项目基本情况!B11="自然人",C5*F31,C32+C33+C34),1)</f>
        <v>2548.4</v>
      </c>
      <c r="D31" s="1980" t="s">
        <v>1794</v>
      </c>
      <c r="E31" s="1978" t="s">
        <v>1795</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1833</v>
      </c>
      <c r="B32" s="784" t="s">
        <v>1796</v>
      </c>
      <c r="C32" s="53">
        <f ca="1">ROUND(C5*F32/1.05,1)</f>
        <v>959.2</v>
      </c>
      <c r="D32" s="1978" t="s">
        <v>1797</v>
      </c>
      <c r="E32" s="784" t="s">
        <v>1798</v>
      </c>
      <c r="F32" s="809">
        <f>'数据-取费表'!B41</f>
        <v>5.6000000000000001E-2</v>
      </c>
      <c r="G32" s="2063"/>
      <c r="H32" s="2072"/>
      <c r="I32" s="2073"/>
      <c r="J32" s="2074"/>
      <c r="K32" s="2075"/>
      <c r="L32" s="2076"/>
      <c r="M32" s="2077"/>
    </row>
    <row r="33" spans="1:18" ht="18" customHeight="1">
      <c r="A33" s="1648" t="s">
        <v>1834</v>
      </c>
      <c r="B33" s="784" t="s">
        <v>1799</v>
      </c>
      <c r="C33" s="53">
        <f ca="1">IF(D33="按租金收入计税",ROUND(C5*F33,1),IF(D33="按房产原值计税",ROUND(C29*F33*0.7,1),INDIRECT("'数据-取费表'!Aj"&amp;$G$1)))</f>
        <v>1539.5</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f ca="1">ROUND(F34*F35/10000,1)</f>
        <v>49.7</v>
      </c>
      <c r="D34" s="814" t="s">
        <v>1801</v>
      </c>
      <c r="E34" s="784" t="s">
        <v>1802</v>
      </c>
      <c r="F34" s="640">
        <f>'数据-取费表'!B52</f>
        <v>12</v>
      </c>
      <c r="G34" s="2063"/>
      <c r="H34" s="2066"/>
      <c r="I34" s="835" t="s">
        <v>1815</v>
      </c>
      <c r="J34" s="836"/>
      <c r="K34" s="2081"/>
      <c r="L34" s="2080"/>
      <c r="M34" s="2080"/>
    </row>
    <row r="35" spans="1:18" ht="18" customHeight="1">
      <c r="A35" s="815"/>
      <c r="B35" s="793"/>
      <c r="C35" s="69"/>
      <c r="D35" s="816"/>
      <c r="E35" s="784" t="s">
        <v>1803</v>
      </c>
      <c r="F35" s="785">
        <f ca="1">INDIRECT("'数据-取费表'!r"&amp;$G$1)</f>
        <v>41386.450000000004</v>
      </c>
      <c r="G35" s="2063"/>
      <c r="H35" s="2066"/>
      <c r="I35" s="837" t="s">
        <v>1816</v>
      </c>
      <c r="J35" s="838">
        <f ca="1">ROUND(C13*J36,0)</f>
        <v>15578</v>
      </c>
      <c r="K35" s="2079"/>
      <c r="L35" s="2078"/>
      <c r="M35" s="2078"/>
    </row>
    <row r="36" spans="1:18" ht="18" customHeight="1">
      <c r="A36" s="1649" t="s">
        <v>1891</v>
      </c>
      <c r="B36" s="784" t="s">
        <v>1804</v>
      </c>
      <c r="C36" s="53">
        <f ca="1">ROUND(C29*F36,1)</f>
        <v>2749</v>
      </c>
      <c r="D36" s="1978" t="s">
        <v>1805</v>
      </c>
      <c r="E36" s="784" t="s">
        <v>1798</v>
      </c>
      <c r="F36" s="817">
        <f ca="1">INDIRECT("'数据-取费表'!Ak"&amp;$G$1)</f>
        <v>1.4999999999999999E-2</v>
      </c>
      <c r="G36" s="2063"/>
      <c r="H36" s="2078"/>
      <c r="I36" s="839" t="s">
        <v>1817</v>
      </c>
      <c r="J36" s="840">
        <f ca="1">INDIRECT("'数据-取费表'!j"&amp;$G$1)</f>
        <v>8.5000000000000006E-2</v>
      </c>
      <c r="K36" s="2083"/>
      <c r="L36" s="2078"/>
      <c r="M36" s="2078"/>
    </row>
    <row r="37" spans="1:18" ht="18" customHeight="1">
      <c r="A37" s="1649" t="s">
        <v>1892</v>
      </c>
      <c r="B37" s="784" t="s">
        <v>680</v>
      </c>
      <c r="C37" s="53">
        <f ca="1">ROUND(C13*F37,1)</f>
        <v>274.89999999999998</v>
      </c>
      <c r="D37" s="1978" t="s">
        <v>1806</v>
      </c>
      <c r="E37" s="784" t="s">
        <v>1798</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359.7</v>
      </c>
      <c r="D38" s="2570" t="s">
        <v>1807</v>
      </c>
      <c r="E38" s="2571" t="s">
        <v>1798</v>
      </c>
      <c r="F38" s="2567">
        <f ca="1">INDIRECT("'数据-取费表'!Am"&amp;$G$1)</f>
        <v>0.02</v>
      </c>
      <c r="G38" s="2063"/>
      <c r="H38" s="2078"/>
      <c r="I38" s="843" t="s">
        <v>1819</v>
      </c>
      <c r="J38" s="844"/>
      <c r="K38" s="2084"/>
      <c r="L38" s="2078"/>
      <c r="M38" s="2078"/>
    </row>
    <row r="39" spans="1:18" ht="24.6" customHeight="1" thickTop="1">
      <c r="A39" s="1830" t="s">
        <v>1896</v>
      </c>
      <c r="B39" s="3036" t="s">
        <v>2829</v>
      </c>
      <c r="C39" s="792">
        <f ca="1">C5-C30</f>
        <v>12053</v>
      </c>
      <c r="D39" s="2573" t="s">
        <v>1808</v>
      </c>
      <c r="E39" s="2574"/>
      <c r="F39" s="2575"/>
      <c r="G39" s="2063"/>
      <c r="H39" s="2078"/>
      <c r="I39" s="837" t="s">
        <v>1820</v>
      </c>
      <c r="J39" s="845">
        <f ca="1">ROUND(J35/C39,3)</f>
        <v>1.292</v>
      </c>
      <c r="K39" s="2084"/>
      <c r="L39" s="2078"/>
      <c r="M39" s="2078"/>
    </row>
    <row r="40" spans="1:18" ht="18" customHeight="1">
      <c r="A40" s="781" t="s">
        <v>1897</v>
      </c>
      <c r="B40" s="2233" t="s">
        <v>2305</v>
      </c>
      <c r="C40" s="783">
        <f ca="1">ROUND(C39*(1-((1+F42)/(1+F40))^F41)/(F40-F42),0)</f>
        <v>263881</v>
      </c>
      <c r="D40" s="814" t="s">
        <v>1809</v>
      </c>
      <c r="E40" s="784" t="s">
        <v>2424</v>
      </c>
      <c r="F40" s="794">
        <f ca="1">INDIRECT("'数据-取费表'!I"&amp;$G$1)</f>
        <v>5.5E-2</v>
      </c>
      <c r="G40" s="2063"/>
      <c r="H40" s="2063"/>
      <c r="I40" s="837" t="s">
        <v>1821</v>
      </c>
      <c r="J40" s="845">
        <f ca="1">1-J39</f>
        <v>-0.29200000000000004</v>
      </c>
      <c r="K40" s="2084"/>
      <c r="L40" s="2063"/>
      <c r="M40" s="2063"/>
    </row>
    <row r="41" spans="1:18" ht="18" customHeight="1">
      <c r="A41" s="786"/>
      <c r="B41" s="787"/>
      <c r="C41" s="788"/>
      <c r="D41" s="821" t="s">
        <v>1810</v>
      </c>
      <c r="E41" s="784" t="s">
        <v>2976</v>
      </c>
      <c r="F41" s="822">
        <f ca="1">IF(INDIRECT("'数据-取费表'!af"&amp;$G$1)=0,INDIRECT("'数据-取费表'!ae"&amp;$G$1),INDIRECT("'数据-取费表'!af"&amp;$G$1))</f>
        <v>33.049999999999997</v>
      </c>
      <c r="G41" s="2063"/>
      <c r="H41" s="1989"/>
      <c r="I41" s="843" t="s">
        <v>1822</v>
      </c>
      <c r="J41" s="846"/>
      <c r="K41" s="2083"/>
      <c r="L41" s="1989"/>
      <c r="M41" s="1989"/>
    </row>
    <row r="42" spans="1:18" ht="18" customHeight="1">
      <c r="A42" s="790"/>
      <c r="B42" s="791"/>
      <c r="C42" s="792"/>
      <c r="D42" s="816"/>
      <c r="E42" s="784" t="s">
        <v>1811</v>
      </c>
      <c r="F42" s="794">
        <f ca="1">INDIRECT("'数据-取费表'!v"&amp;$G$1)</f>
        <v>0.03</v>
      </c>
      <c r="G42" s="2063"/>
      <c r="H42" s="1989"/>
      <c r="I42" s="847" t="s">
        <v>1823</v>
      </c>
      <c r="J42" s="845">
        <f ca="1">ROUND(C13/C40,3)</f>
        <v>0.69499999999999995</v>
      </c>
      <c r="K42" s="2083"/>
      <c r="L42" s="1989"/>
      <c r="M42" s="1989"/>
    </row>
    <row r="43" spans="1:18" ht="18" customHeight="1" thickBot="1">
      <c r="A43" s="823" t="s">
        <v>1789</v>
      </c>
      <c r="B43" s="824" t="s">
        <v>1812</v>
      </c>
      <c r="C43" s="825">
        <f ca="1">ROUND(C40*10000/F43,0)</f>
        <v>9439</v>
      </c>
      <c r="D43" s="826" t="s">
        <v>1813</v>
      </c>
      <c r="E43" s="827" t="s">
        <v>1814</v>
      </c>
      <c r="F43" s="828">
        <f ca="1">INDIRECT("'数据-取费表'!k"&amp;$G$1)</f>
        <v>279564.38</v>
      </c>
      <c r="G43" s="2063"/>
      <c r="H43" s="1989"/>
      <c r="I43" s="847" t="s">
        <v>1824</v>
      </c>
      <c r="J43" s="848">
        <f ca="1">1-J42</f>
        <v>0.30500000000000005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f ca="1">C67-C40</f>
        <v>-333461</v>
      </c>
      <c r="D46" s="2086"/>
      <c r="E46" s="2086"/>
      <c r="F46" s="2086"/>
      <c r="I46" s="2379" t="s">
        <v>2347</v>
      </c>
      <c r="J46" s="2380"/>
      <c r="K46" s="2381"/>
      <c r="L46" s="2382" t="str">
        <f ca="1">IF(M47="住宅",0,IF(L48&gt;J51,L60,J60))</f>
        <v>0</v>
      </c>
      <c r="O46" s="2419" t="s">
        <v>2415</v>
      </c>
      <c r="P46" s="1592"/>
      <c r="Q46" s="1604"/>
      <c r="R46" s="1592"/>
    </row>
    <row r="47" spans="1:18" s="2060" customFormat="1" ht="18" customHeight="1" thickBot="1">
      <c r="A47" s="2373">
        <v>1</v>
      </c>
      <c r="B47" s="2374" t="s">
        <v>636</v>
      </c>
      <c r="C47" s="2599">
        <f ca="1">C48+C52+C54</f>
        <v>0</v>
      </c>
      <c r="D47" s="2086"/>
      <c r="E47" s="2086"/>
      <c r="F47" s="2086"/>
      <c r="I47" s="2383" t="s">
        <v>2348</v>
      </c>
      <c r="J47" s="2388" t="s">
        <v>3319</v>
      </c>
      <c r="K47" s="2389" t="s">
        <v>2354</v>
      </c>
      <c r="L47" s="2390">
        <f ca="1">INDIRECT("'数据-取费表'!d"&amp;$G$1)</f>
        <v>40</v>
      </c>
      <c r="M47" s="1604" t="str">
        <f>IF(ISNUMBER(FIND("住宅",C1)),"住宅","非住宅")</f>
        <v>非住宅</v>
      </c>
      <c r="O47" s="2420" t="s">
        <v>2380</v>
      </c>
      <c r="P47" s="2421" t="s">
        <v>2381</v>
      </c>
      <c r="Q47" s="2422" t="s">
        <v>2382</v>
      </c>
      <c r="R47" s="2421" t="s">
        <v>2383</v>
      </c>
    </row>
    <row r="48" spans="1:18" s="2060" customFormat="1" ht="18" customHeight="1" thickBot="1">
      <c r="A48" s="2668" t="s">
        <v>2544</v>
      </c>
      <c r="B48" s="2669" t="s">
        <v>2545</v>
      </c>
      <c r="C48" s="2375">
        <f ca="1">ROUND(F48*F50*F49*(1-F51)/10000,0)</f>
        <v>0</v>
      </c>
      <c r="D48" s="2376" t="s">
        <v>637</v>
      </c>
      <c r="E48" s="2377" t="s">
        <v>2300</v>
      </c>
      <c r="F48" s="2378"/>
      <c r="G48" s="2091"/>
      <c r="I48" s="2384" t="s">
        <v>2349</v>
      </c>
      <c r="J48" s="2391" t="s">
        <v>2355</v>
      </c>
      <c r="K48" s="2392" t="s">
        <v>2356</v>
      </c>
      <c r="L48" s="2393">
        <f ca="1">INDIRECT("'数据-取费表'!f"&amp;$G$1)</f>
        <v>36.049999999999997</v>
      </c>
      <c r="O48" s="2423" t="s">
        <v>2384</v>
      </c>
      <c r="P48" s="2424" t="s">
        <v>2410</v>
      </c>
      <c r="Q48" s="2425">
        <f ca="1">C40+J29</f>
        <v>263881</v>
      </c>
      <c r="R48" s="2424" t="s">
        <v>2385</v>
      </c>
    </row>
    <row r="49" spans="1:18" s="2060" customFormat="1" ht="18" customHeight="1" thickBot="1">
      <c r="A49" s="786"/>
      <c r="B49" s="787"/>
      <c r="C49" s="788"/>
      <c r="D49" s="789"/>
      <c r="E49" s="784" t="s">
        <v>1741</v>
      </c>
      <c r="F49" s="785">
        <f ca="1">F7</f>
        <v>279564.38</v>
      </c>
      <c r="G49" s="2091"/>
      <c r="H49" s="2094"/>
      <c r="I49" s="2384" t="s">
        <v>2350</v>
      </c>
      <c r="J49" s="2394">
        <v>2018</v>
      </c>
      <c r="K49" s="2395" t="s">
        <v>2357</v>
      </c>
      <c r="L49" s="2396"/>
      <c r="O49" s="2423" t="s">
        <v>2386</v>
      </c>
      <c r="P49" s="2424" t="s">
        <v>2411</v>
      </c>
      <c r="Q49" s="2425" t="str">
        <f ca="1">J60</f>
        <v>0</v>
      </c>
      <c r="R49" s="2424" t="s">
        <v>2387</v>
      </c>
    </row>
    <row r="50" spans="1:18" s="2060" customFormat="1" ht="18" customHeight="1" thickBot="1">
      <c r="A50" s="786"/>
      <c r="B50" s="787"/>
      <c r="C50" s="788"/>
      <c r="D50" s="789"/>
      <c r="E50" s="784" t="s">
        <v>1742</v>
      </c>
      <c r="F50" s="785">
        <f ca="1">F8</f>
        <v>365</v>
      </c>
      <c r="G50" s="2096"/>
      <c r="H50" s="2094"/>
      <c r="I50" s="2384" t="s">
        <v>2351</v>
      </c>
      <c r="J50" s="2397">
        <f>SUMPRODUCT((I63:I65=J47)*(J62:L62=J48)*(J63:L65))</f>
        <v>60</v>
      </c>
      <c r="K50" s="2395" t="s">
        <v>2358</v>
      </c>
      <c r="L50" s="2396"/>
      <c r="O50" s="2426" t="s">
        <v>2388</v>
      </c>
      <c r="P50" s="2424" t="s">
        <v>2412</v>
      </c>
      <c r="Q50" s="2425">
        <f ca="1">C29</f>
        <v>183269</v>
      </c>
      <c r="R50" s="2424" t="s">
        <v>2385</v>
      </c>
    </row>
    <row r="51" spans="1:18" s="2060" customFormat="1" ht="18" customHeight="1" thickBot="1">
      <c r="A51" s="786"/>
      <c r="B51" s="787"/>
      <c r="C51" s="788"/>
      <c r="D51" s="789"/>
      <c r="E51" s="784" t="s">
        <v>641</v>
      </c>
      <c r="F51" s="2372"/>
      <c r="H51" s="2094"/>
      <c r="I51" s="2385" t="s">
        <v>2352</v>
      </c>
      <c r="J51" s="2398">
        <f>IF(J49="",J50,J49+J50-YEAR('数据-取费表'!B2))</f>
        <v>60</v>
      </c>
      <c r="K51" s="2384" t="s">
        <v>2359</v>
      </c>
      <c r="L51" s="2399">
        <f ca="1">ROUND(-PV(INDIRECT("'数据-取费表'!h"&amp;$G$1),L48,(C39-C13*J36),0),0)</f>
        <v>-58355</v>
      </c>
      <c r="O51" s="2426" t="s">
        <v>2389</v>
      </c>
      <c r="P51" s="2424" t="s">
        <v>2390</v>
      </c>
      <c r="Q51" s="2427" t="e">
        <f ca="1">J58</f>
        <v>#VALUE!</v>
      </c>
      <c r="R51" s="2428"/>
    </row>
    <row r="52" spans="1:18" s="2060" customFormat="1" ht="18" customHeight="1" thickBot="1">
      <c r="A52" s="781" t="s">
        <v>2543</v>
      </c>
      <c r="B52" s="2519" t="s">
        <v>2465</v>
      </c>
      <c r="C52" s="799">
        <f ca="1">ROUND(IF(F52="押一",F48*F50*F49/12*F11,IF(F52="押二",F48*F50*F49/12*2*F11,IF(F52="押三",F48*F50*F49/12*3*F11,C53*F11)))/10000,0)</f>
        <v>0</v>
      </c>
      <c r="D52" s="2526" t="s">
        <v>2472</v>
      </c>
      <c r="E52" s="2523" t="s">
        <v>2470</v>
      </c>
      <c r="F52" s="2646"/>
      <c r="I52" s="2386" t="s">
        <v>2426</v>
      </c>
      <c r="J52" s="2400"/>
      <c r="K52" s="2386" t="s">
        <v>2425</v>
      </c>
      <c r="L52" s="2400"/>
      <c r="O52" s="2426" t="s">
        <v>2391</v>
      </c>
      <c r="P52" s="2424" t="s">
        <v>2392</v>
      </c>
      <c r="Q52" s="2427">
        <f>J52</f>
        <v>0</v>
      </c>
      <c r="R52" s="2428"/>
    </row>
    <row r="53" spans="1:18" s="2060" customFormat="1" ht="39.75" customHeight="1" thickBot="1">
      <c r="A53" s="786"/>
      <c r="B53" s="2520" t="s">
        <v>2580</v>
      </c>
      <c r="C53" s="2524"/>
      <c r="D53" s="2526"/>
      <c r="E53" s="2523"/>
      <c r="F53" s="800"/>
      <c r="I53" s="2387" t="s">
        <v>2353</v>
      </c>
      <c r="J53" s="2401">
        <f ca="1">IF(M47="住宅",J51,IF(D1="——",MIN(J51,L48),IF(D1="土地（套用方法）",MIN(J51,L48-'数据-取费表'!B20))))</f>
        <v>33.049999999999997</v>
      </c>
      <c r="K53" s="3743" t="s">
        <v>2978</v>
      </c>
      <c r="L53" s="3744"/>
      <c r="O53" s="2426" t="s">
        <v>2393</v>
      </c>
      <c r="P53" s="2424" t="s">
        <v>2394</v>
      </c>
      <c r="Q53" s="2425">
        <f ca="1">J53</f>
        <v>33.049999999999997</v>
      </c>
      <c r="R53" s="2424" t="s">
        <v>2395</v>
      </c>
    </row>
    <row r="54" spans="1:18" s="2060" customFormat="1" ht="18" customHeight="1" thickBot="1">
      <c r="A54" s="2562" t="s">
        <v>2474</v>
      </c>
      <c r="B54" s="2563" t="s">
        <v>2466</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2396</v>
      </c>
      <c r="P54" s="2424" t="s">
        <v>2413</v>
      </c>
      <c r="Q54" s="2425">
        <f ca="1">Q48+Q49</f>
        <v>263881</v>
      </c>
      <c r="R54" s="2428" t="s">
        <v>2397</v>
      </c>
    </row>
    <row r="55" spans="1:18" s="2060" customFormat="1" ht="18" customHeight="1" thickTop="1" thickBot="1">
      <c r="A55" s="797">
        <v>2</v>
      </c>
      <c r="B55" s="798" t="s">
        <v>645</v>
      </c>
      <c r="C55" s="799">
        <f ca="1">C13</f>
        <v>183269</v>
      </c>
      <c r="D55" s="795"/>
      <c r="E55" s="795"/>
      <c r="F55" s="800"/>
      <c r="I55" s="3129" t="s">
        <v>2360</v>
      </c>
      <c r="J55" s="3128" t="e">
        <f ca="1">ROUND(IF(J47="钢混",J57/J50,1-(1-2%)*(J50-J57)/J50),3)</f>
        <v>#VALUE!</v>
      </c>
      <c r="K55" s="2402" t="s">
        <v>2361</v>
      </c>
      <c r="L55" s="2403"/>
      <c r="O55" s="2429" t="s">
        <v>2416</v>
      </c>
      <c r="P55" s="1592"/>
      <c r="Q55" s="1604"/>
      <c r="R55" s="1592"/>
    </row>
    <row r="56" spans="1:18" s="2060" customFormat="1" ht="42.75" customHeight="1" thickBot="1">
      <c r="A56" s="1650"/>
      <c r="B56" s="2232" t="s">
        <v>2306</v>
      </c>
      <c r="C56" s="53">
        <f ca="1">C29</f>
        <v>183269</v>
      </c>
      <c r="D56" s="2665"/>
      <c r="E56" s="784"/>
      <c r="F56" s="809"/>
      <c r="I56" s="2404" t="s">
        <v>2362</v>
      </c>
      <c r="J56" s="3152" t="s">
        <v>1680</v>
      </c>
      <c r="K56" s="2384" t="s">
        <v>2367</v>
      </c>
      <c r="L56" s="2393" t="str">
        <f ca="1">IF(L48&lt;J51,"——",L48-J51)</f>
        <v>——</v>
      </c>
      <c r="O56" s="2420" t="s">
        <v>2380</v>
      </c>
      <c r="P56" s="2421" t="s">
        <v>2381</v>
      </c>
      <c r="Q56" s="2422" t="s">
        <v>2382</v>
      </c>
      <c r="R56" s="2421" t="s">
        <v>2383</v>
      </c>
    </row>
    <row r="57" spans="1:18" s="2060" customFormat="1" ht="28.5" customHeight="1" thickBot="1">
      <c r="A57" s="797" t="s">
        <v>1750</v>
      </c>
      <c r="B57" s="798" t="s">
        <v>652</v>
      </c>
      <c r="C57" s="799">
        <f ca="1">ROUND(C58+C63+C64+C65,0)</f>
        <v>4613</v>
      </c>
      <c r="D57" s="26" t="s">
        <v>1752</v>
      </c>
      <c r="E57" s="2666"/>
      <c r="F57" s="56"/>
      <c r="I57" s="2405" t="s">
        <v>2363</v>
      </c>
      <c r="J57" s="2407" t="str">
        <f ca="1">IF(OR(M47="住宅",J51&lt;L48,J56="是"),"——",J51-L48)</f>
        <v>——</v>
      </c>
      <c r="K57" s="2384" t="s">
        <v>2368</v>
      </c>
      <c r="L57" s="2393" t="str">
        <f ca="1">IF(L48&lt;J51,"——",IF(L55="比较法",L49,IF(L55="基准地价",L50,L51)))</f>
        <v>——</v>
      </c>
      <c r="O57" s="2423" t="s">
        <v>2384</v>
      </c>
      <c r="P57" s="2424" t="s">
        <v>2414</v>
      </c>
      <c r="Q57" s="2425">
        <f ca="1">C40+J29</f>
        <v>263881</v>
      </c>
      <c r="R57" s="2424" t="s">
        <v>2385</v>
      </c>
    </row>
    <row r="58" spans="1:18" s="2060" customFormat="1" ht="28.5" customHeight="1" thickBot="1">
      <c r="A58" s="1649" t="s">
        <v>1826</v>
      </c>
      <c r="B58" s="784" t="s">
        <v>657</v>
      </c>
      <c r="C58" s="53">
        <f ca="1">ROUND(IF(项目基本情况!B11="自然人",C47*F58,C59+C60+C61),1)</f>
        <v>1589.2</v>
      </c>
      <c r="D58" s="2664" t="s">
        <v>658</v>
      </c>
      <c r="E58" s="2665" t="s">
        <v>691</v>
      </c>
      <c r="F58" s="810">
        <f ca="1">IF(项目基本情况!B11="企业","",IF(INDIRECT("'数据-取费表'!c"&amp;$G$1)="住宅",5%,IF(F48*F49*F50/12/(1+'数据-取费表'!C42)&gt;20000,12%,7%)))</f>
        <v>7.0000000000000007E-2</v>
      </c>
      <c r="I58" s="2405" t="s">
        <v>2364</v>
      </c>
      <c r="J58" s="3130" t="e">
        <f ca="1">IF(J55&lt;0.4,0.4,J55)</f>
        <v>#VALUE!</v>
      </c>
      <c r="K58" s="2384" t="s">
        <v>2369</v>
      </c>
      <c r="L58" s="2393" t="e">
        <f ca="1">ROUND(POWER(1+L52,L47-L48)*(POWER(1+L52,L48)-1)/(POWER(1+L52,L47)-1),4)</f>
        <v>#DIV/0!</v>
      </c>
      <c r="O58" s="2423" t="s">
        <v>2386</v>
      </c>
      <c r="P58" s="2424" t="s">
        <v>2417</v>
      </c>
      <c r="Q58" s="2425">
        <f ca="1">L60</f>
        <v>0</v>
      </c>
      <c r="R58" s="2428" t="s">
        <v>2419</v>
      </c>
    </row>
    <row r="59" spans="1:18" s="2060" customFormat="1" ht="28.5" customHeight="1" thickBot="1">
      <c r="A59" s="1648" t="s">
        <v>1833</v>
      </c>
      <c r="B59" s="784" t="s">
        <v>661</v>
      </c>
      <c r="C59" s="53">
        <f ca="1">ROUND(C47*F59/1.05,1)</f>
        <v>0</v>
      </c>
      <c r="D59" s="2665" t="s">
        <v>1758</v>
      </c>
      <c r="E59" s="784" t="s">
        <v>1749</v>
      </c>
      <c r="F59" s="809">
        <f t="shared" ref="F59:F65" si="0">F32</f>
        <v>5.6000000000000001E-2</v>
      </c>
      <c r="I59" s="2405" t="s">
        <v>2365</v>
      </c>
      <c r="J59" s="2407"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2388</v>
      </c>
      <c r="P59" s="2424" t="s">
        <v>2418</v>
      </c>
      <c r="Q59" s="2425">
        <f>IF(L55="比较法",L49,IF(L55="基准地价",L50,0))</f>
        <v>0</v>
      </c>
      <c r="R59" s="2424" t="s">
        <v>2385</v>
      </c>
    </row>
    <row r="60" spans="1:18" s="2060" customFormat="1" ht="18" customHeight="1" thickBot="1">
      <c r="A60" s="1648" t="s">
        <v>1834</v>
      </c>
      <c r="B60" s="784" t="s">
        <v>1760</v>
      </c>
      <c r="C60" s="53">
        <f ca="1">IF(D60="按租金收入计税",ROUND(C47*F60,1),IF(D60="按房产原值计税",ROUND(C56*F60*0.7,1),INDIRECT("'数据-取费表'!Aj"&amp;$G$1)))</f>
        <v>1539.5</v>
      </c>
      <c r="D60" s="2665" t="str">
        <f>D33</f>
        <v>按房产原值计税</v>
      </c>
      <c r="E60" s="784" t="s">
        <v>1749</v>
      </c>
      <c r="F60" s="809">
        <f t="shared" si="0"/>
        <v>1.2E-2</v>
      </c>
      <c r="I60" s="2406" t="s">
        <v>2366</v>
      </c>
      <c r="J60" s="2408" t="str">
        <f ca="1">IF(OR(M47="住宅",J51&lt;L48,J56="是"),"0",ROUND(J59/(1+J52)^J53,0))</f>
        <v>0</v>
      </c>
      <c r="K60" s="2409" t="s">
        <v>2371</v>
      </c>
      <c r="L60" s="2408">
        <f ca="1">IF(OR(M47="住宅",L48&lt;J51),0,ROUND(L57*(L58/L59-1),0))</f>
        <v>0</v>
      </c>
      <c r="O60" s="2426" t="s">
        <v>2389</v>
      </c>
      <c r="P60" s="2424" t="s">
        <v>2398</v>
      </c>
      <c r="Q60" s="2427">
        <f>L52</f>
        <v>0</v>
      </c>
      <c r="R60" s="2428"/>
    </row>
    <row r="61" spans="1:18" s="2060" customFormat="1" ht="18" customHeight="1" thickBot="1">
      <c r="A61" s="1651" t="s">
        <v>1835</v>
      </c>
      <c r="B61" s="341" t="s">
        <v>669</v>
      </c>
      <c r="C61" s="54">
        <f ca="1">ROUND(F61*F62/10000,1)</f>
        <v>49.7</v>
      </c>
      <c r="D61" s="814" t="s">
        <v>670</v>
      </c>
      <c r="E61" s="784" t="s">
        <v>671</v>
      </c>
      <c r="F61" s="640">
        <f t="shared" si="0"/>
        <v>12</v>
      </c>
      <c r="K61" s="2087"/>
      <c r="O61" s="2426" t="s">
        <v>2391</v>
      </c>
      <c r="P61" s="2424" t="s">
        <v>2399</v>
      </c>
      <c r="Q61" s="2425" t="e">
        <f ca="1">L58</f>
        <v>#DIV/0!</v>
      </c>
      <c r="R61" s="2428" t="s">
        <v>2400</v>
      </c>
    </row>
    <row r="62" spans="1:18" s="2060" customFormat="1" ht="15.75" thickBot="1">
      <c r="A62" s="815"/>
      <c r="B62" s="793"/>
      <c r="C62" s="69"/>
      <c r="D62" s="816"/>
      <c r="E62" s="784" t="s">
        <v>675</v>
      </c>
      <c r="F62" s="785">
        <f t="shared" ca="1" si="0"/>
        <v>41386.450000000004</v>
      </c>
      <c r="I62" s="2410" t="s">
        <v>2372</v>
      </c>
      <c r="J62" s="2411" t="s">
        <v>2373</v>
      </c>
      <c r="K62" s="2411" t="s">
        <v>2374</v>
      </c>
      <c r="L62" s="2411" t="s">
        <v>2355</v>
      </c>
      <c r="M62" s="3131" t="s">
        <v>2953</v>
      </c>
      <c r="O62" s="2426" t="s">
        <v>2393</v>
      </c>
      <c r="P62" s="2424" t="str">
        <f>K59</f>
        <v>建设期及建筑物耐用年限下的土地年期修正系数Kn</v>
      </c>
      <c r="Q62" s="2425" t="e">
        <f ca="1">L59</f>
        <v>#DIV/0!</v>
      </c>
      <c r="R62" s="2428" t="s">
        <v>2402</v>
      </c>
    </row>
    <row r="63" spans="1:18" s="2060" customFormat="1" ht="15.75" thickBot="1">
      <c r="A63" s="1649" t="s">
        <v>1891</v>
      </c>
      <c r="B63" s="784" t="s">
        <v>677</v>
      </c>
      <c r="C63" s="53">
        <f ca="1">ROUND(C56*F63,1)</f>
        <v>2749</v>
      </c>
      <c r="D63" s="2665" t="s">
        <v>1805</v>
      </c>
      <c r="E63" s="784" t="s">
        <v>1749</v>
      </c>
      <c r="F63" s="817">
        <f t="shared" ca="1" si="0"/>
        <v>1.4999999999999999E-2</v>
      </c>
      <c r="I63" s="2410" t="s">
        <v>2375</v>
      </c>
      <c r="J63" s="2411">
        <v>70</v>
      </c>
      <c r="K63" s="2411">
        <v>50</v>
      </c>
      <c r="L63" s="2411">
        <v>80</v>
      </c>
      <c r="M63" s="3132">
        <v>0.02</v>
      </c>
      <c r="O63" s="2423" t="s">
        <v>2396</v>
      </c>
      <c r="P63" s="2424" t="s">
        <v>2413</v>
      </c>
      <c r="Q63" s="2425">
        <f ca="1">Q57+Q58</f>
        <v>263881</v>
      </c>
      <c r="R63" s="2428" t="s">
        <v>2397</v>
      </c>
    </row>
    <row r="64" spans="1:18" s="2060" customFormat="1" ht="16.5" thickBot="1">
      <c r="A64" s="1649" t="s">
        <v>1892</v>
      </c>
      <c r="B64" s="784" t="s">
        <v>680</v>
      </c>
      <c r="C64" s="53">
        <f ca="1">ROUND(C55*F64,1)</f>
        <v>274.89999999999998</v>
      </c>
      <c r="D64" s="2665" t="s">
        <v>681</v>
      </c>
      <c r="E64" s="784" t="s">
        <v>1749</v>
      </c>
      <c r="F64" s="818">
        <f t="shared" ca="1" si="0"/>
        <v>1.5E-3</v>
      </c>
      <c r="I64" s="2410" t="s">
        <v>2376</v>
      </c>
      <c r="J64" s="2411">
        <v>50</v>
      </c>
      <c r="K64" s="2411">
        <v>35</v>
      </c>
      <c r="L64" s="2411">
        <v>60</v>
      </c>
      <c r="M64" s="3133">
        <v>0</v>
      </c>
      <c r="O64" s="2429" t="s">
        <v>2420</v>
      </c>
      <c r="P64" s="1592"/>
      <c r="Q64" s="1604"/>
      <c r="R64" s="1592"/>
    </row>
    <row r="65" spans="1:18" s="2060" customFormat="1" ht="15.75" thickBot="1">
      <c r="A65" s="1649" t="s">
        <v>1893</v>
      </c>
      <c r="B65" s="784" t="s">
        <v>667</v>
      </c>
      <c r="C65" s="53">
        <f ca="1">ROUND(C47*F65,1)</f>
        <v>0</v>
      </c>
      <c r="D65" s="2665" t="s">
        <v>684</v>
      </c>
      <c r="E65" s="784" t="s">
        <v>1749</v>
      </c>
      <c r="F65" s="794">
        <f t="shared" ca="1" si="0"/>
        <v>0.02</v>
      </c>
      <c r="I65" s="2410" t="s">
        <v>2377</v>
      </c>
      <c r="J65" s="2411">
        <v>40</v>
      </c>
      <c r="K65" s="2411">
        <v>30</v>
      </c>
      <c r="L65" s="2411">
        <v>50</v>
      </c>
      <c r="M65" s="3132">
        <v>0.02</v>
      </c>
      <c r="O65" s="2420" t="s">
        <v>2380</v>
      </c>
      <c r="P65" s="2421" t="s">
        <v>2381</v>
      </c>
      <c r="Q65" s="2422" t="s">
        <v>2382</v>
      </c>
      <c r="R65" s="2421" t="s">
        <v>2383</v>
      </c>
    </row>
    <row r="66" spans="1:18" s="2060" customFormat="1" ht="24.75" thickBot="1">
      <c r="A66" s="797" t="s">
        <v>1778</v>
      </c>
      <c r="B66" s="3037" t="s">
        <v>2829</v>
      </c>
      <c r="C66" s="799">
        <f ca="1">C47-C57</f>
        <v>-4613</v>
      </c>
      <c r="D66" s="2664" t="s">
        <v>701</v>
      </c>
      <c r="E66" s="2663"/>
      <c r="F66" s="820"/>
      <c r="K66" s="2087"/>
      <c r="O66" s="2423" t="s">
        <v>2384</v>
      </c>
      <c r="P66" s="2424" t="s">
        <v>2414</v>
      </c>
      <c r="Q66" s="2425">
        <f ca="1">C40+J29</f>
        <v>263881</v>
      </c>
      <c r="R66" s="2424" t="s">
        <v>2385</v>
      </c>
    </row>
    <row r="67" spans="1:18" s="2060" customFormat="1" ht="20.25" thickBot="1">
      <c r="A67" s="781" t="s">
        <v>1782</v>
      </c>
      <c r="B67" s="2233" t="s">
        <v>2305</v>
      </c>
      <c r="C67" s="783">
        <f ca="1">ROUND(C66*(1-((1+F69)/(1+F67))^F68)/(F67-F69),0)</f>
        <v>-69580</v>
      </c>
      <c r="D67" s="814" t="s">
        <v>705</v>
      </c>
      <c r="E67" s="784" t="s">
        <v>706</v>
      </c>
      <c r="F67" s="794">
        <f ca="1">F40</f>
        <v>5.5E-2</v>
      </c>
      <c r="K67" s="2087"/>
      <c r="O67" s="2423" t="s">
        <v>2386</v>
      </c>
      <c r="P67" s="2424" t="s">
        <v>2417</v>
      </c>
      <c r="Q67" s="2425">
        <f ca="1">L60</f>
        <v>0</v>
      </c>
      <c r="R67" s="2428" t="s">
        <v>2419</v>
      </c>
    </row>
    <row r="68" spans="1:18" ht="21.75" thickBot="1">
      <c r="A68" s="786"/>
      <c r="B68" s="787"/>
      <c r="C68" s="788"/>
      <c r="D68" s="821" t="s">
        <v>1810</v>
      </c>
      <c r="E68" s="784" t="s">
        <v>1786</v>
      </c>
      <c r="F68" s="822">
        <f ca="1">F41</f>
        <v>33.049999999999997</v>
      </c>
      <c r="O68" s="2426" t="s">
        <v>2388</v>
      </c>
      <c r="P68" s="2424" t="s">
        <v>2418</v>
      </c>
      <c r="Q68" s="2430">
        <f ca="1">L51</f>
        <v>-58355</v>
      </c>
      <c r="R68" s="2431" t="s">
        <v>2421</v>
      </c>
    </row>
    <row r="69" spans="1:18" ht="20.25" thickBot="1">
      <c r="A69" s="790"/>
      <c r="B69" s="791"/>
      <c r="C69" s="792"/>
      <c r="D69" s="816"/>
      <c r="E69" s="784" t="s">
        <v>711</v>
      </c>
      <c r="F69" s="2372"/>
      <c r="O69" s="2426" t="s">
        <v>2389</v>
      </c>
      <c r="P69" s="2432" t="s">
        <v>2403</v>
      </c>
      <c r="Q69" s="2425">
        <f ca="1">ROUND(Q70-Q71*Q72,0)</f>
        <v>-3525</v>
      </c>
      <c r="R69" s="2428"/>
    </row>
    <row r="70" spans="1:18" ht="15.75" thickBot="1">
      <c r="A70" s="823" t="s">
        <v>1789</v>
      </c>
      <c r="B70" s="824" t="s">
        <v>1812</v>
      </c>
      <c r="C70" s="825">
        <f ca="1">ROUND(C67*10000/F70,0)</f>
        <v>-2489</v>
      </c>
      <c r="D70" s="826" t="s">
        <v>1813</v>
      </c>
      <c r="E70" s="827" t="s">
        <v>1814</v>
      </c>
      <c r="F70" s="828">
        <f ca="1">F43</f>
        <v>279564.38</v>
      </c>
      <c r="O70" s="2426" t="s">
        <v>2404</v>
      </c>
      <c r="P70" s="2432" t="s">
        <v>2405</v>
      </c>
      <c r="Q70" s="2425">
        <f ca="1">C39</f>
        <v>12053</v>
      </c>
      <c r="R70" s="2424" t="s">
        <v>2385</v>
      </c>
    </row>
    <row r="71" spans="1:18" ht="15.75" thickBot="1">
      <c r="O71" s="2426" t="s">
        <v>2406</v>
      </c>
      <c r="P71" s="2432" t="s">
        <v>2407</v>
      </c>
      <c r="Q71" s="2425">
        <f ca="1">C13</f>
        <v>183269</v>
      </c>
      <c r="R71" s="2424" t="s">
        <v>2385</v>
      </c>
    </row>
    <row r="72" spans="1:18" ht="15.75" thickBot="1">
      <c r="O72" s="2426" t="s">
        <v>2408</v>
      </c>
      <c r="P72" s="2432" t="s">
        <v>2409</v>
      </c>
      <c r="Q72" s="2427">
        <f ca="1">J36</f>
        <v>8.5000000000000006E-2</v>
      </c>
      <c r="R72" s="2428"/>
    </row>
    <row r="73" spans="1:18" ht="15.75" thickBot="1">
      <c r="O73" s="2426" t="s">
        <v>2391</v>
      </c>
      <c r="P73" s="2424" t="s">
        <v>2398</v>
      </c>
      <c r="Q73" s="2427">
        <f>L52</f>
        <v>0</v>
      </c>
      <c r="R73" s="2428"/>
    </row>
    <row r="74" spans="1:18" ht="20.25" thickBot="1">
      <c r="O74" s="2426" t="s">
        <v>2393</v>
      </c>
      <c r="P74" s="2424" t="s">
        <v>2399</v>
      </c>
      <c r="Q74" s="2425" t="e">
        <f ca="1">L58</f>
        <v>#DIV/0!</v>
      </c>
      <c r="R74" s="2428" t="s">
        <v>2400</v>
      </c>
    </row>
    <row r="75" spans="1:18" ht="15.75" thickBot="1">
      <c r="O75" s="2426" t="s">
        <v>2422</v>
      </c>
      <c r="P75" s="2424" t="str">
        <f>K59</f>
        <v>建设期及建筑物耐用年限下的土地年期修正系数Kn</v>
      </c>
      <c r="Q75" s="2425" t="e">
        <f ca="1">L59</f>
        <v>#DIV/0!</v>
      </c>
      <c r="R75" s="2428" t="s">
        <v>2402</v>
      </c>
    </row>
    <row r="76" spans="1:18" ht="15.75" thickBot="1">
      <c r="O76" s="2423" t="s">
        <v>2396</v>
      </c>
      <c r="P76" s="2424" t="s">
        <v>2413</v>
      </c>
      <c r="Q76" s="2425">
        <f ca="1">Q66+Q67</f>
        <v>263881</v>
      </c>
      <c r="R76" s="2428"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1"/>
      <c r="E1" s="506"/>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522</v>
      </c>
      <c r="B4" s="513"/>
      <c r="C4" s="3660" t="s">
        <v>523</v>
      </c>
      <c r="D4" s="3661"/>
      <c r="E4" s="3694" t="s">
        <v>524</v>
      </c>
      <c r="F4" s="3695"/>
      <c r="G4" s="3660" t="s">
        <v>525</v>
      </c>
      <c r="H4" s="3661"/>
      <c r="I4" s="3660" t="s">
        <v>526</v>
      </c>
      <c r="J4" s="3661"/>
      <c r="K4" s="514" t="s">
        <v>527</v>
      </c>
      <c r="L4" s="2134"/>
      <c r="M4" s="2135"/>
      <c r="N4" s="2135"/>
      <c r="O4" s="2135"/>
      <c r="P4" s="3662" t="s">
        <v>528</v>
      </c>
      <c r="Q4" s="3663"/>
      <c r="R4" s="3668" t="s">
        <v>524</v>
      </c>
      <c r="S4" s="3669"/>
      <c r="T4" s="3668" t="s">
        <v>525</v>
      </c>
      <c r="U4" s="3669"/>
      <c r="V4" s="3655" t="s">
        <v>526</v>
      </c>
      <c r="W4" s="3655"/>
      <c r="X4" s="1567"/>
      <c r="Y4" s="3668" t="s">
        <v>528</v>
      </c>
      <c r="Z4" s="3669"/>
      <c r="AA4" s="3657" t="s">
        <v>524</v>
      </c>
      <c r="AB4" s="3655" t="s">
        <v>525</v>
      </c>
      <c r="AC4" s="3657" t="s">
        <v>526</v>
      </c>
    </row>
    <row r="5" spans="1:29" ht="15">
      <c r="A5" s="515"/>
      <c r="B5" s="516"/>
      <c r="C5" s="3676" t="s">
        <v>2938</v>
      </c>
      <c r="D5" s="3677"/>
      <c r="E5" s="3696" t="s">
        <v>2939</v>
      </c>
      <c r="F5" s="3697"/>
      <c r="G5" s="3676" t="s">
        <v>2940</v>
      </c>
      <c r="H5" s="3677"/>
      <c r="I5" s="3676" t="s">
        <v>2941</v>
      </c>
      <c r="J5" s="3677"/>
      <c r="K5" s="514"/>
      <c r="L5" s="2134"/>
      <c r="M5" s="2135"/>
      <c r="N5" s="2135"/>
      <c r="O5" s="2135"/>
      <c r="P5" s="3664"/>
      <c r="Q5" s="3665"/>
      <c r="R5" s="3670"/>
      <c r="S5" s="3671"/>
      <c r="T5" s="3670"/>
      <c r="U5" s="3671"/>
      <c r="V5" s="3655"/>
      <c r="W5" s="3655"/>
      <c r="X5" s="1567"/>
      <c r="Y5" s="3670"/>
      <c r="Z5" s="3671"/>
      <c r="AA5" s="3658"/>
      <c r="AB5" s="3655"/>
      <c r="AC5" s="3658"/>
    </row>
    <row r="6" spans="1:29" ht="15.75" thickBot="1">
      <c r="A6" s="517"/>
      <c r="B6" s="518"/>
      <c r="C6" s="3674" t="s">
        <v>2942</v>
      </c>
      <c r="D6" s="3675"/>
      <c r="E6" s="3692" t="s">
        <v>2942</v>
      </c>
      <c r="F6" s="3693"/>
      <c r="G6" s="3674" t="s">
        <v>2942</v>
      </c>
      <c r="H6" s="3675"/>
      <c r="I6" s="3674" t="s">
        <v>2942</v>
      </c>
      <c r="J6" s="3675"/>
      <c r="K6" s="514" t="s">
        <v>529</v>
      </c>
      <c r="L6" s="2134"/>
      <c r="M6" s="2135"/>
      <c r="N6" s="2135"/>
      <c r="O6" s="2135"/>
      <c r="P6" s="3666"/>
      <c r="Q6" s="3667"/>
      <c r="R6" s="3670"/>
      <c r="S6" s="3671"/>
      <c r="T6" s="3672"/>
      <c r="U6" s="3673"/>
      <c r="V6" s="3655"/>
      <c r="W6" s="3655"/>
      <c r="X6" s="1567"/>
      <c r="Y6" s="3672"/>
      <c r="Z6" s="3673"/>
      <c r="AA6" s="3659"/>
      <c r="AB6" s="3655"/>
      <c r="AC6" s="3659"/>
    </row>
    <row r="7" spans="1:29" s="1220" customFormat="1" ht="15.75" thickBot="1">
      <c r="A7" s="2938"/>
      <c r="B7" s="2945" t="s">
        <v>530</v>
      </c>
      <c r="C7" s="519">
        <f>'数据-取费表'!B2</f>
        <v>43167</v>
      </c>
      <c r="D7" s="520">
        <v>100</v>
      </c>
      <c r="E7" s="521"/>
      <c r="F7" s="522">
        <f>SUMIF(58:58,YEAR(E7)&amp;"-"&amp;MONTH(E7),59:59)</f>
        <v>0</v>
      </c>
      <c r="G7" s="521"/>
      <c r="H7" s="520">
        <f>SUMIF(58:58,YEAR(G7)&amp;"-"&amp;MONTH(G7),59:59)</f>
        <v>0</v>
      </c>
      <c r="I7" s="521"/>
      <c r="J7" s="520">
        <f>SUMIF(58:58,YEAR(I7)&amp;"-"&amp;MONTH(I7),59:59)</f>
        <v>0</v>
      </c>
      <c r="K7" s="524"/>
      <c r="L7" s="2136"/>
      <c r="M7" s="2137"/>
      <c r="N7" s="2137"/>
      <c r="O7" s="2137"/>
      <c r="P7" s="3685" t="s">
        <v>531</v>
      </c>
      <c r="Q7" s="3687"/>
      <c r="R7" s="1568" t="s">
        <v>8</v>
      </c>
      <c r="S7" s="1569">
        <f t="shared" ref="S7:S15" si="0">F7</f>
        <v>0</v>
      </c>
      <c r="T7" s="1568" t="s">
        <v>8</v>
      </c>
      <c r="U7" s="1569">
        <f t="shared" ref="U7:U15" si="1">H7</f>
        <v>0</v>
      </c>
      <c r="V7" s="1568" t="s">
        <v>8</v>
      </c>
      <c r="W7" s="1569">
        <f t="shared" ref="W7:W15" si="2">J7</f>
        <v>0</v>
      </c>
      <c r="X7" s="1570"/>
      <c r="Y7" s="3685" t="s">
        <v>531</v>
      </c>
      <c r="Z7" s="3686"/>
      <c r="AA7" s="1571" t="e">
        <f>D7/F7</f>
        <v>#DIV/0!</v>
      </c>
      <c r="AB7" s="1571" t="e">
        <f>D7/H7</f>
        <v>#DIV/0!</v>
      </c>
      <c r="AC7" s="1571" t="e">
        <f>D7/J7</f>
        <v>#DIV/0!</v>
      </c>
    </row>
    <row r="8" spans="1:29" s="1220" customFormat="1" ht="15.75" thickBot="1">
      <c r="A8" s="2939"/>
      <c r="B8" s="2946"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685" t="s">
        <v>534</v>
      </c>
      <c r="Q8" s="3686"/>
      <c r="R8" s="1568" t="s">
        <v>8</v>
      </c>
      <c r="S8" s="1569">
        <f t="shared" si="0"/>
        <v>0</v>
      </c>
      <c r="T8" s="1568" t="s">
        <v>8</v>
      </c>
      <c r="U8" s="1569">
        <f t="shared" si="1"/>
        <v>0</v>
      </c>
      <c r="V8" s="1568" t="s">
        <v>8</v>
      </c>
      <c r="W8" s="1569">
        <f t="shared" si="2"/>
        <v>0</v>
      </c>
      <c r="X8" s="1570"/>
      <c r="Y8" s="3685" t="s">
        <v>534</v>
      </c>
      <c r="Z8" s="3686"/>
      <c r="AA8" s="1571" t="e">
        <f t="shared" ref="AA8:AA46" si="3">D8/F8</f>
        <v>#DIV/0!</v>
      </c>
      <c r="AB8" s="1571" t="e">
        <f t="shared" ref="AB8:AB46" si="4">D8/H8</f>
        <v>#DIV/0!</v>
      </c>
      <c r="AC8" s="1571" t="e">
        <f t="shared" ref="AC8:AC46" si="5">D8/J8</f>
        <v>#DIV/0!</v>
      </c>
    </row>
    <row r="9" spans="1:29" s="1220" customFormat="1" ht="15">
      <c r="A9" s="2940"/>
      <c r="B9" s="2947" t="s">
        <v>2763</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654" t="s">
        <v>536</v>
      </c>
      <c r="Q9" s="1151" t="str">
        <f t="shared" ref="Q9:Q15" si="6">B9</f>
        <v>用途</v>
      </c>
      <c r="R9" s="1568" t="s">
        <v>8</v>
      </c>
      <c r="S9" s="1569">
        <f t="shared" si="0"/>
        <v>100</v>
      </c>
      <c r="T9" s="1568" t="s">
        <v>8</v>
      </c>
      <c r="U9" s="1569">
        <f t="shared" si="1"/>
        <v>100</v>
      </c>
      <c r="V9" s="1568" t="s">
        <v>8</v>
      </c>
      <c r="W9" s="1569">
        <f t="shared" si="2"/>
        <v>100</v>
      </c>
      <c r="X9" s="1570"/>
      <c r="Y9" s="3600"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654"/>
      <c r="Q10" s="1151" t="str">
        <f t="shared" si="6"/>
        <v>土地使用年限（年）</v>
      </c>
      <c r="R10" s="1568" t="s">
        <v>8</v>
      </c>
      <c r="S10" s="1569">
        <f t="shared" si="0"/>
        <v>100</v>
      </c>
      <c r="T10" s="1568" t="s">
        <v>8</v>
      </c>
      <c r="U10" s="1569">
        <f t="shared" si="1"/>
        <v>100</v>
      </c>
      <c r="V10" s="1568" t="s">
        <v>8</v>
      </c>
      <c r="W10" s="1569">
        <f t="shared" si="2"/>
        <v>100</v>
      </c>
      <c r="X10" s="1570"/>
      <c r="Y10" s="3600"/>
      <c r="Z10" s="1150" t="str">
        <f t="shared" si="7"/>
        <v>土地使用年限（年）</v>
      </c>
      <c r="AA10" s="1571">
        <f t="shared" si="3"/>
        <v>1</v>
      </c>
      <c r="AB10" s="1571">
        <f t="shared" si="4"/>
        <v>1</v>
      </c>
      <c r="AC10" s="1571">
        <f t="shared" si="5"/>
        <v>1</v>
      </c>
    </row>
    <row r="11" spans="1:29" ht="15">
      <c r="A11" s="2942"/>
      <c r="B11" s="2946" t="s">
        <v>2765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654"/>
      <c r="Q11" s="1151" t="str">
        <f t="shared" si="6"/>
        <v>容积率</v>
      </c>
      <c r="R11" s="1568" t="s">
        <v>8</v>
      </c>
      <c r="S11" s="1569" t="e">
        <f t="shared" si="0"/>
        <v>#N/A</v>
      </c>
      <c r="T11" s="1568" t="s">
        <v>8</v>
      </c>
      <c r="U11" s="1569" t="e">
        <f t="shared" si="1"/>
        <v>#N/A</v>
      </c>
      <c r="V11" s="1568" t="s">
        <v>8</v>
      </c>
      <c r="W11" s="1569" t="e">
        <f t="shared" si="2"/>
        <v>#N/A</v>
      </c>
      <c r="X11" s="1570"/>
      <c r="Y11" s="3600"/>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654"/>
      <c r="Q12" s="1151">
        <f t="shared" si="6"/>
        <v>111</v>
      </c>
      <c r="R12" s="1568" t="s">
        <v>8</v>
      </c>
      <c r="S12" s="1569">
        <f t="shared" si="0"/>
        <v>100</v>
      </c>
      <c r="T12" s="1568" t="s">
        <v>8</v>
      </c>
      <c r="U12" s="1569">
        <f t="shared" si="1"/>
        <v>100</v>
      </c>
      <c r="V12" s="1568" t="s">
        <v>8</v>
      </c>
      <c r="W12" s="1569">
        <f t="shared" si="2"/>
        <v>100</v>
      </c>
      <c r="X12" s="1570"/>
      <c r="Y12" s="3600"/>
      <c r="Z12" s="1150">
        <f t="shared" si="7"/>
        <v>111</v>
      </c>
      <c r="AA12" s="1571">
        <f>D12/F12</f>
        <v>1</v>
      </c>
      <c r="AB12" s="1571">
        <f>D12/H12</f>
        <v>1</v>
      </c>
      <c r="AC12" s="1571">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654"/>
      <c r="Q13" s="1151">
        <f t="shared" si="6"/>
        <v>111</v>
      </c>
      <c r="R13" s="1568" t="s">
        <v>8</v>
      </c>
      <c r="S13" s="1569">
        <f t="shared" si="0"/>
        <v>100</v>
      </c>
      <c r="T13" s="1568" t="s">
        <v>8</v>
      </c>
      <c r="U13" s="1569">
        <f t="shared" si="1"/>
        <v>100</v>
      </c>
      <c r="V13" s="1568" t="s">
        <v>8</v>
      </c>
      <c r="W13" s="1569">
        <f t="shared" si="2"/>
        <v>100</v>
      </c>
      <c r="X13" s="1570"/>
      <c r="Y13" s="3600"/>
      <c r="Z13" s="1150">
        <f t="shared" si="7"/>
        <v>111</v>
      </c>
      <c r="AA13" s="1571">
        <f t="shared" si="3"/>
        <v>1</v>
      </c>
      <c r="AB13" s="1571">
        <f t="shared" si="4"/>
        <v>1</v>
      </c>
      <c r="AC13" s="1571">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654"/>
      <c r="Q14" s="1151">
        <f t="shared" si="6"/>
        <v>111</v>
      </c>
      <c r="R14" s="1568" t="s">
        <v>8</v>
      </c>
      <c r="S14" s="1569">
        <f t="shared" si="0"/>
        <v>100</v>
      </c>
      <c r="T14" s="1568" t="s">
        <v>8</v>
      </c>
      <c r="U14" s="1569">
        <f t="shared" si="1"/>
        <v>100</v>
      </c>
      <c r="V14" s="1568" t="s">
        <v>8</v>
      </c>
      <c r="W14" s="1569">
        <f t="shared" si="2"/>
        <v>100</v>
      </c>
      <c r="X14" s="1570"/>
      <c r="Y14" s="3600"/>
      <c r="Z14" s="1150">
        <f t="shared" si="7"/>
        <v>111</v>
      </c>
      <c r="AA14" s="1571">
        <f t="shared" si="3"/>
        <v>1</v>
      </c>
      <c r="AB14" s="1571">
        <f t="shared" si="4"/>
        <v>1</v>
      </c>
      <c r="AC14" s="1571">
        <f t="shared" si="5"/>
        <v>1</v>
      </c>
    </row>
    <row r="15" spans="1:29" ht="71.25">
      <c r="A15" s="2936" t="s">
        <v>2761</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688" t="s">
        <v>541</v>
      </c>
      <c r="Q15" s="1572" t="str">
        <f t="shared" si="6"/>
        <v>商业繁华度</v>
      </c>
      <c r="R15" s="1573" t="s">
        <v>8</v>
      </c>
      <c r="S15" s="1574">
        <f t="shared" si="0"/>
        <v>100</v>
      </c>
      <c r="T15" s="1573" t="s">
        <v>8</v>
      </c>
      <c r="U15" s="1574">
        <f t="shared" si="1"/>
        <v>100</v>
      </c>
      <c r="V15" s="1573" t="s">
        <v>8</v>
      </c>
      <c r="W15" s="1574">
        <f t="shared" si="2"/>
        <v>100</v>
      </c>
      <c r="X15" s="1567"/>
      <c r="Y15" s="3688" t="s">
        <v>541</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689"/>
      <c r="Q16" s="1572"/>
      <c r="R16" s="1573"/>
      <c r="S16" s="1574"/>
      <c r="T16" s="1573"/>
      <c r="U16" s="1574"/>
      <c r="V16" s="1573"/>
      <c r="W16" s="1574"/>
      <c r="X16" s="1567"/>
      <c r="Y16" s="3689"/>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689"/>
      <c r="Q17" s="1572" t="str">
        <f>B17</f>
        <v>交通便捷度</v>
      </c>
      <c r="R17" s="1573" t="s">
        <v>8</v>
      </c>
      <c r="S17" s="1574">
        <f>F17</f>
        <v>100</v>
      </c>
      <c r="T17" s="1573" t="s">
        <v>8</v>
      </c>
      <c r="U17" s="1574">
        <f>H17</f>
        <v>100</v>
      </c>
      <c r="V17" s="1573" t="s">
        <v>8</v>
      </c>
      <c r="W17" s="1574">
        <f>J17</f>
        <v>100</v>
      </c>
      <c r="X17" s="1567"/>
      <c r="Y17" s="368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689"/>
      <c r="Q18" s="1572"/>
      <c r="R18" s="1573"/>
      <c r="S18" s="1574"/>
      <c r="T18" s="1573"/>
      <c r="U18" s="1574"/>
      <c r="V18" s="1573"/>
      <c r="W18" s="1574"/>
      <c r="X18" s="1567"/>
      <c r="Y18" s="3689"/>
      <c r="Z18" s="1575"/>
      <c r="AA18" s="1576">
        <v>1</v>
      </c>
      <c r="AB18" s="1576">
        <v>1</v>
      </c>
      <c r="AC18" s="1576">
        <v>1</v>
      </c>
    </row>
    <row r="19" spans="1:29" ht="42.75">
      <c r="A19" s="532"/>
      <c r="B19" s="2625"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689"/>
      <c r="Q19" s="1572" t="str">
        <f>B19</f>
        <v>公共配套设施</v>
      </c>
      <c r="R19" s="1573" t="s">
        <v>8</v>
      </c>
      <c r="S19" s="1574">
        <f>F19</f>
        <v>100</v>
      </c>
      <c r="T19" s="1573" t="s">
        <v>8</v>
      </c>
      <c r="U19" s="1574">
        <f>H19</f>
        <v>100</v>
      </c>
      <c r="V19" s="1573" t="s">
        <v>8</v>
      </c>
      <c r="W19" s="1574">
        <f>J19</f>
        <v>100</v>
      </c>
      <c r="X19" s="1567"/>
      <c r="Y19" s="3689"/>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689"/>
      <c r="Q20" s="1572"/>
      <c r="R20" s="1573"/>
      <c r="S20" s="1574"/>
      <c r="T20" s="1573"/>
      <c r="U20" s="1574"/>
      <c r="V20" s="1573"/>
      <c r="W20" s="1574"/>
      <c r="X20" s="1567"/>
      <c r="Y20" s="3689"/>
      <c r="Z20" s="1575"/>
      <c r="AA20" s="1576">
        <v>1</v>
      </c>
      <c r="AB20" s="1576">
        <v>1</v>
      </c>
      <c r="AC20" s="1576">
        <v>1</v>
      </c>
    </row>
    <row r="21" spans="1:29" ht="28.5">
      <c r="A21" s="532"/>
      <c r="B21" s="2618"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689"/>
      <c r="Q21" s="2604" t="str">
        <f>B21</f>
        <v>基础设施水平</v>
      </c>
      <c r="R21" s="1573" t="s">
        <v>8</v>
      </c>
      <c r="S21" s="1574">
        <f>F21</f>
        <v>100</v>
      </c>
      <c r="T21" s="1573" t="s">
        <v>8</v>
      </c>
      <c r="U21" s="1574">
        <f>H21</f>
        <v>100</v>
      </c>
      <c r="V21" s="1573" t="s">
        <v>8</v>
      </c>
      <c r="W21" s="1574">
        <f>J21</f>
        <v>100</v>
      </c>
      <c r="X21" s="2606"/>
      <c r="Y21" s="3689"/>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689"/>
      <c r="Q22" s="2604"/>
      <c r="R22" s="1573"/>
      <c r="S22" s="1574"/>
      <c r="T22" s="1573"/>
      <c r="U22" s="1574"/>
      <c r="V22" s="1573"/>
      <c r="W22" s="1574"/>
      <c r="X22" s="2606"/>
      <c r="Y22" s="3689"/>
      <c r="Z22" s="2605"/>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689"/>
      <c r="Q23" s="1572" t="str">
        <f>B23</f>
        <v>自然及人文环境</v>
      </c>
      <c r="R23" s="1573" t="s">
        <v>8</v>
      </c>
      <c r="S23" s="1574">
        <f>F23</f>
        <v>100</v>
      </c>
      <c r="T23" s="1573" t="s">
        <v>8</v>
      </c>
      <c r="U23" s="1574">
        <f>H23</f>
        <v>100</v>
      </c>
      <c r="V23" s="1573" t="s">
        <v>8</v>
      </c>
      <c r="W23" s="1574">
        <f>J23</f>
        <v>100</v>
      </c>
      <c r="X23" s="1567"/>
      <c r="Y23" s="3689"/>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689"/>
      <c r="Q24" s="1572"/>
      <c r="R24" s="1573"/>
      <c r="S24" s="1574"/>
      <c r="T24" s="1573"/>
      <c r="U24" s="1574"/>
      <c r="V24" s="1573"/>
      <c r="W24" s="1574"/>
      <c r="X24" s="1567"/>
      <c r="Y24" s="3689"/>
      <c r="Z24" s="1575"/>
      <c r="AA24" s="1576">
        <v>1</v>
      </c>
      <c r="AB24" s="1576">
        <v>1</v>
      </c>
      <c r="AC24" s="1576">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689"/>
      <c r="Q25" s="1572" t="str">
        <f t="shared" ref="Q25:Q46" si="11">B25</f>
        <v>临街状况</v>
      </c>
      <c r="R25" s="1573" t="s">
        <v>8</v>
      </c>
      <c r="S25" s="1574">
        <f>F25</f>
        <v>100</v>
      </c>
      <c r="T25" s="1573" t="s">
        <v>8</v>
      </c>
      <c r="U25" s="1574">
        <f>H25</f>
        <v>100</v>
      </c>
      <c r="V25" s="1573" t="s">
        <v>8</v>
      </c>
      <c r="W25" s="1574">
        <f>J25</f>
        <v>100</v>
      </c>
      <c r="X25" s="1567"/>
      <c r="Y25" s="3689"/>
      <c r="Z25" s="1575" t="str">
        <f>Q25</f>
        <v>临街状况</v>
      </c>
      <c r="AA25" s="1576">
        <f t="shared" si="3"/>
        <v>1</v>
      </c>
      <c r="AB25" s="1576">
        <f t="shared" si="4"/>
        <v>1</v>
      </c>
      <c r="AC25" s="1576">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689"/>
      <c r="Q26" s="1572" t="str">
        <f t="shared" si="11"/>
        <v>平面位置/可视性</v>
      </c>
      <c r="R26" s="1573" t="s">
        <v>8</v>
      </c>
      <c r="S26" s="1574">
        <f>F26</f>
        <v>100</v>
      </c>
      <c r="T26" s="1573" t="s">
        <v>8</v>
      </c>
      <c r="U26" s="1574">
        <f>H26</f>
        <v>100</v>
      </c>
      <c r="V26" s="1573" t="s">
        <v>8</v>
      </c>
      <c r="W26" s="1574">
        <f>J26</f>
        <v>100</v>
      </c>
      <c r="X26" s="1567"/>
      <c r="Y26" s="3689"/>
      <c r="Z26" s="1575" t="str">
        <f>Q26</f>
        <v>平面位置/可视性</v>
      </c>
      <c r="AA26" s="1576">
        <f t="shared" si="3"/>
        <v>1</v>
      </c>
      <c r="AB26" s="1576">
        <f t="shared" si="4"/>
        <v>1</v>
      </c>
      <c r="AC26" s="1576">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689"/>
      <c r="Q27" s="1151" t="str">
        <f t="shared" si="11"/>
        <v>人流量</v>
      </c>
      <c r="R27" s="1568" t="s">
        <v>8</v>
      </c>
      <c r="S27" s="1569">
        <f>F27</f>
        <v>100</v>
      </c>
      <c r="T27" s="1568" t="s">
        <v>8</v>
      </c>
      <c r="U27" s="1569">
        <f>H27</f>
        <v>100</v>
      </c>
      <c r="V27" s="1568" t="s">
        <v>8</v>
      </c>
      <c r="W27" s="1569">
        <f>J27</f>
        <v>100</v>
      </c>
      <c r="X27" s="1570"/>
      <c r="Y27" s="3689"/>
      <c r="Z27" s="1150" t="str">
        <f>Q27</f>
        <v>人流量</v>
      </c>
      <c r="AA27" s="1576">
        <f>D27/F27</f>
        <v>1</v>
      </c>
      <c r="AB27" s="1576">
        <f>D27/H27</f>
        <v>1</v>
      </c>
      <c r="AC27" s="1576">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689"/>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689"/>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689"/>
      <c r="Q29" s="1572">
        <f t="shared" si="11"/>
        <v>111</v>
      </c>
      <c r="R29" s="1573" t="s">
        <v>8</v>
      </c>
      <c r="S29" s="1574">
        <f t="shared" si="12"/>
        <v>100</v>
      </c>
      <c r="T29" s="1573" t="s">
        <v>8</v>
      </c>
      <c r="U29" s="1574">
        <f t="shared" si="13"/>
        <v>100</v>
      </c>
      <c r="V29" s="1573" t="s">
        <v>8</v>
      </c>
      <c r="W29" s="1574">
        <f t="shared" si="14"/>
        <v>100</v>
      </c>
      <c r="X29" s="1567"/>
      <c r="Y29" s="368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689"/>
      <c r="Q30" s="1572">
        <f t="shared" si="11"/>
        <v>111</v>
      </c>
      <c r="R30" s="1573" t="s">
        <v>8</v>
      </c>
      <c r="S30" s="1574">
        <f t="shared" si="12"/>
        <v>100</v>
      </c>
      <c r="T30" s="1573" t="s">
        <v>8</v>
      </c>
      <c r="U30" s="1574">
        <f t="shared" si="13"/>
        <v>100</v>
      </c>
      <c r="V30" s="1573" t="s">
        <v>8</v>
      </c>
      <c r="W30" s="1574">
        <f t="shared" si="14"/>
        <v>100</v>
      </c>
      <c r="X30" s="1567"/>
      <c r="Y30" s="3689"/>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689"/>
      <c r="Q31" s="1572">
        <f t="shared" si="11"/>
        <v>111</v>
      </c>
      <c r="R31" s="1573" t="s">
        <v>8</v>
      </c>
      <c r="S31" s="1574">
        <f t="shared" si="12"/>
        <v>100</v>
      </c>
      <c r="T31" s="1573" t="s">
        <v>8</v>
      </c>
      <c r="U31" s="1574">
        <f t="shared" si="13"/>
        <v>100</v>
      </c>
      <c r="V31" s="1573" t="s">
        <v>8</v>
      </c>
      <c r="W31" s="1574">
        <f t="shared" si="14"/>
        <v>100</v>
      </c>
      <c r="X31" s="1567"/>
      <c r="Y31" s="3689"/>
      <c r="Z31" s="1575">
        <f t="shared" si="15"/>
        <v>111</v>
      </c>
      <c r="AA31" s="1576">
        <f t="shared" si="3"/>
        <v>1</v>
      </c>
      <c r="AB31" s="1576">
        <f t="shared" si="4"/>
        <v>1</v>
      </c>
      <c r="AC31" s="1576">
        <f t="shared" si="5"/>
        <v>1</v>
      </c>
    </row>
    <row r="32" spans="1:29" ht="15">
      <c r="A32" s="2933" t="s">
        <v>2762</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690" t="s">
        <v>551</v>
      </c>
      <c r="Q32" s="1572" t="str">
        <f t="shared" si="11"/>
        <v>商业类型</v>
      </c>
      <c r="R32" s="1573" t="s">
        <v>8</v>
      </c>
      <c r="S32" s="1574">
        <f t="shared" si="12"/>
        <v>100</v>
      </c>
      <c r="T32" s="1573" t="s">
        <v>8</v>
      </c>
      <c r="U32" s="1574">
        <f t="shared" si="13"/>
        <v>100</v>
      </c>
      <c r="V32" s="1573" t="s">
        <v>8</v>
      </c>
      <c r="W32" s="1574">
        <f t="shared" si="14"/>
        <v>100</v>
      </c>
      <c r="X32" s="1567"/>
      <c r="Y32" s="3691" t="s">
        <v>551</v>
      </c>
      <c r="Z32" s="1575" t="str">
        <f t="shared" si="15"/>
        <v>商业类型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691"/>
      <c r="Q33" s="1605" t="str">
        <f t="shared" si="11"/>
        <v>项目建筑规模</v>
      </c>
      <c r="R33" s="1577" t="s">
        <v>8</v>
      </c>
      <c r="S33" s="1578" t="e">
        <f t="shared" si="12"/>
        <v>#N/A</v>
      </c>
      <c r="T33" s="1577" t="s">
        <v>8</v>
      </c>
      <c r="U33" s="1578" t="e">
        <f t="shared" si="13"/>
        <v>#N/A</v>
      </c>
      <c r="V33" s="1577" t="s">
        <v>8</v>
      </c>
      <c r="W33" s="1578" t="e">
        <f t="shared" si="14"/>
        <v>#N/A</v>
      </c>
      <c r="X33" s="1579"/>
      <c r="Y33" s="3691"/>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691"/>
      <c r="Q34" s="1572" t="str">
        <f t="shared" si="11"/>
        <v>建筑结构</v>
      </c>
      <c r="R34" s="1573" t="s">
        <v>8</v>
      </c>
      <c r="S34" s="1574">
        <f t="shared" si="12"/>
        <v>100</v>
      </c>
      <c r="T34" s="1573" t="s">
        <v>8</v>
      </c>
      <c r="U34" s="1574">
        <f t="shared" si="13"/>
        <v>100</v>
      </c>
      <c r="V34" s="1573" t="s">
        <v>8</v>
      </c>
      <c r="W34" s="1574">
        <f t="shared" si="14"/>
        <v>100</v>
      </c>
      <c r="X34" s="1567"/>
      <c r="Y34" s="3691"/>
      <c r="Z34" s="1575" t="str">
        <f t="shared" si="15"/>
        <v>建筑结构</v>
      </c>
      <c r="AA34" s="1576">
        <f t="shared" si="3"/>
        <v>1</v>
      </c>
      <c r="AB34" s="1576">
        <f t="shared" si="4"/>
        <v>1</v>
      </c>
      <c r="AC34" s="1576">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691"/>
      <c r="Q35" s="1572" t="str">
        <f t="shared" si="11"/>
        <v>公共部分装修</v>
      </c>
      <c r="R35" s="1573" t="s">
        <v>8</v>
      </c>
      <c r="S35" s="1574">
        <f t="shared" si="12"/>
        <v>100</v>
      </c>
      <c r="T35" s="1573" t="s">
        <v>8</v>
      </c>
      <c r="U35" s="1574">
        <f t="shared" si="13"/>
        <v>100</v>
      </c>
      <c r="V35" s="1573" t="s">
        <v>8</v>
      </c>
      <c r="W35" s="1574">
        <f t="shared" si="14"/>
        <v>100</v>
      </c>
      <c r="X35" s="1567"/>
      <c r="Y35" s="3691"/>
      <c r="Z35" s="1575" t="str">
        <f t="shared" si="15"/>
        <v>公共部分装修</v>
      </c>
      <c r="AA35" s="1576">
        <f t="shared" si="3"/>
        <v>1</v>
      </c>
      <c r="AB35" s="1576">
        <f t="shared" si="4"/>
        <v>1</v>
      </c>
      <c r="AC35" s="1576">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691"/>
      <c r="Q36" s="1572" t="str">
        <f t="shared" si="11"/>
        <v>成新度</v>
      </c>
      <c r="R36" s="1573" t="s">
        <v>8</v>
      </c>
      <c r="S36" s="1574" t="e">
        <f t="shared" si="12"/>
        <v>#N/A</v>
      </c>
      <c r="T36" s="1573" t="s">
        <v>8</v>
      </c>
      <c r="U36" s="1574" t="e">
        <f t="shared" si="13"/>
        <v>#N/A</v>
      </c>
      <c r="V36" s="1573" t="s">
        <v>8</v>
      </c>
      <c r="W36" s="1574" t="e">
        <f t="shared" si="14"/>
        <v>#N/A</v>
      </c>
      <c r="X36" s="1567"/>
      <c r="Y36" s="3691"/>
      <c r="Z36" s="1575" t="str">
        <f t="shared" si="15"/>
        <v>成新度</v>
      </c>
      <c r="AA36" s="1576" t="e">
        <f t="shared" si="3"/>
        <v>#N/A</v>
      </c>
      <c r="AB36" s="1576" t="e">
        <f t="shared" si="4"/>
        <v>#N/A</v>
      </c>
      <c r="AC36" s="1576" t="e">
        <f t="shared" si="5"/>
        <v>#N/A</v>
      </c>
    </row>
    <row r="37" spans="1:29" s="1220" customFormat="1" ht="15">
      <c r="A37" s="600"/>
      <c r="B37" s="1896" t="s">
        <v>2572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691"/>
      <c r="Q37" s="1151" t="str">
        <f t="shared" si="11"/>
        <v>市政基础设施</v>
      </c>
      <c r="R37" s="1568" t="s">
        <v>8</v>
      </c>
      <c r="S37" s="1569">
        <f t="shared" si="12"/>
        <v>100</v>
      </c>
      <c r="T37" s="1568" t="s">
        <v>8</v>
      </c>
      <c r="U37" s="1569">
        <f t="shared" si="13"/>
        <v>100</v>
      </c>
      <c r="V37" s="1568" t="s">
        <v>8</v>
      </c>
      <c r="W37" s="1569">
        <f t="shared" si="14"/>
        <v>100</v>
      </c>
      <c r="X37" s="1570"/>
      <c r="Y37" s="3691"/>
      <c r="Z37" s="1150" t="str">
        <f t="shared" si="15"/>
        <v>市政基础设施</v>
      </c>
      <c r="AA37" s="1571">
        <f t="shared" si="3"/>
        <v>1</v>
      </c>
      <c r="AB37" s="1571">
        <f t="shared" si="4"/>
        <v>1</v>
      </c>
      <c r="AC37" s="1571">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691" t="s">
        <v>767</v>
      </c>
      <c r="Q38" s="1572" t="str">
        <f t="shared" si="11"/>
        <v>业态</v>
      </c>
      <c r="R38" s="1573" t="s">
        <v>8</v>
      </c>
      <c r="S38" s="1574">
        <f t="shared" si="12"/>
        <v>100</v>
      </c>
      <c r="T38" s="1573" t="s">
        <v>8</v>
      </c>
      <c r="U38" s="1574">
        <f t="shared" si="13"/>
        <v>100</v>
      </c>
      <c r="V38" s="1573" t="s">
        <v>8</v>
      </c>
      <c r="W38" s="1574">
        <f t="shared" si="14"/>
        <v>100</v>
      </c>
      <c r="X38" s="1567"/>
      <c r="Y38" s="3691" t="s">
        <v>767</v>
      </c>
      <c r="Z38" s="1575" t="str">
        <f t="shared" si="15"/>
        <v>业态</v>
      </c>
      <c r="AA38" s="1576">
        <f t="shared" si="3"/>
        <v>1</v>
      </c>
      <c r="AB38" s="1576">
        <f t="shared" si="4"/>
        <v>1</v>
      </c>
      <c r="AC38" s="1576">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691"/>
      <c r="Q39" s="1572" t="str">
        <f t="shared" si="11"/>
        <v>层高</v>
      </c>
      <c r="R39" s="1573" t="s">
        <v>8</v>
      </c>
      <c r="S39" s="1574">
        <f t="shared" si="12"/>
        <v>100</v>
      </c>
      <c r="T39" s="1573" t="s">
        <v>8</v>
      </c>
      <c r="U39" s="1574">
        <f t="shared" si="13"/>
        <v>100</v>
      </c>
      <c r="V39" s="1573" t="s">
        <v>8</v>
      </c>
      <c r="W39" s="1574">
        <f t="shared" si="14"/>
        <v>100</v>
      </c>
      <c r="X39" s="1567"/>
      <c r="Y39" s="3691"/>
      <c r="Z39" s="1575" t="str">
        <f t="shared" si="15"/>
        <v>层高</v>
      </c>
      <c r="AA39" s="1576">
        <f t="shared" si="3"/>
        <v>1</v>
      </c>
      <c r="AB39" s="1576">
        <f t="shared" si="4"/>
        <v>1</v>
      </c>
      <c r="AC39" s="1576">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691"/>
      <c r="Q40" s="1572" t="str">
        <f t="shared" si="11"/>
        <v>单套建筑面积</v>
      </c>
      <c r="R40" s="1573" t="s">
        <v>8</v>
      </c>
      <c r="S40" s="1574">
        <f t="shared" si="12"/>
        <v>100</v>
      </c>
      <c r="T40" s="1573" t="s">
        <v>8</v>
      </c>
      <c r="U40" s="1574">
        <f t="shared" si="13"/>
        <v>100</v>
      </c>
      <c r="V40" s="1573" t="s">
        <v>8</v>
      </c>
      <c r="W40" s="1574">
        <f t="shared" si="14"/>
        <v>100</v>
      </c>
      <c r="X40" s="1567"/>
      <c r="Y40" s="3691"/>
      <c r="Z40" s="1575" t="str">
        <f t="shared" si="15"/>
        <v>单套建筑面积</v>
      </c>
      <c r="AA40" s="1576">
        <f t="shared" si="3"/>
        <v>1</v>
      </c>
      <c r="AB40" s="1576">
        <f t="shared" si="4"/>
        <v>1</v>
      </c>
      <c r="AC40" s="1576">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691"/>
      <c r="Q41" s="1605" t="str">
        <f t="shared" si="11"/>
        <v>进深比</v>
      </c>
      <c r="R41" s="1577" t="s">
        <v>8</v>
      </c>
      <c r="S41" s="1578">
        <f t="shared" si="12"/>
        <v>100</v>
      </c>
      <c r="T41" s="1577" t="s">
        <v>8</v>
      </c>
      <c r="U41" s="1578">
        <f t="shared" si="13"/>
        <v>100</v>
      </c>
      <c r="V41" s="1577" t="s">
        <v>8</v>
      </c>
      <c r="W41" s="1578">
        <f t="shared" si="14"/>
        <v>100</v>
      </c>
      <c r="X41" s="1579"/>
      <c r="Y41" s="3691"/>
      <c r="Z41" s="1580" t="str">
        <f t="shared" si="15"/>
        <v>进深比</v>
      </c>
      <c r="AA41" s="1576">
        <f t="shared" si="3"/>
        <v>1</v>
      </c>
      <c r="AB41" s="1576">
        <f t="shared" si="4"/>
        <v>1</v>
      </c>
      <c r="AC41" s="1576">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691"/>
      <c r="Q42" s="1572" t="str">
        <f t="shared" si="11"/>
        <v>内部装修</v>
      </c>
      <c r="R42" s="1573" t="s">
        <v>8</v>
      </c>
      <c r="S42" s="1574">
        <f t="shared" si="12"/>
        <v>100</v>
      </c>
      <c r="T42" s="1573" t="s">
        <v>8</v>
      </c>
      <c r="U42" s="1574">
        <f t="shared" si="13"/>
        <v>100</v>
      </c>
      <c r="V42" s="1573" t="s">
        <v>8</v>
      </c>
      <c r="W42" s="1574">
        <f t="shared" si="14"/>
        <v>100</v>
      </c>
      <c r="X42" s="1567"/>
      <c r="Y42" s="3691"/>
      <c r="Z42" s="1575" t="str">
        <f t="shared" si="15"/>
        <v>内部装修</v>
      </c>
      <c r="AA42" s="1576">
        <f t="shared" si="3"/>
        <v>1</v>
      </c>
      <c r="AB42" s="1576">
        <f t="shared" si="4"/>
        <v>1</v>
      </c>
      <c r="AC42" s="1576">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691"/>
      <c r="Q43" s="1572" t="str">
        <f t="shared" si="11"/>
        <v>内部装修维护情况</v>
      </c>
      <c r="R43" s="1573" t="s">
        <v>8</v>
      </c>
      <c r="S43" s="1574">
        <f t="shared" si="12"/>
        <v>100</v>
      </c>
      <c r="T43" s="1573" t="s">
        <v>8</v>
      </c>
      <c r="U43" s="1574">
        <f t="shared" si="13"/>
        <v>100</v>
      </c>
      <c r="V43" s="1573" t="s">
        <v>8</v>
      </c>
      <c r="W43" s="1574">
        <f t="shared" si="14"/>
        <v>100</v>
      </c>
      <c r="X43" s="1567"/>
      <c r="Y43" s="369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691"/>
      <c r="Q44" s="1151">
        <f t="shared" si="11"/>
        <v>111</v>
      </c>
      <c r="R44" s="1568" t="s">
        <v>8</v>
      </c>
      <c r="S44" s="1569">
        <f t="shared" si="12"/>
        <v>100</v>
      </c>
      <c r="T44" s="1568" t="s">
        <v>8</v>
      </c>
      <c r="U44" s="1569">
        <f t="shared" si="13"/>
        <v>100</v>
      </c>
      <c r="V44" s="1568" t="s">
        <v>8</v>
      </c>
      <c r="W44" s="1569">
        <f t="shared" si="14"/>
        <v>100</v>
      </c>
      <c r="X44" s="1570"/>
      <c r="Y44" s="369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691"/>
      <c r="Q45" s="1572">
        <f t="shared" si="11"/>
        <v>111</v>
      </c>
      <c r="R45" s="1573" t="s">
        <v>8</v>
      </c>
      <c r="S45" s="1574">
        <f t="shared" si="12"/>
        <v>100</v>
      </c>
      <c r="T45" s="1573" t="s">
        <v>8</v>
      </c>
      <c r="U45" s="1574">
        <f t="shared" si="13"/>
        <v>100</v>
      </c>
      <c r="V45" s="1573" t="s">
        <v>8</v>
      </c>
      <c r="W45" s="1574">
        <f t="shared" si="14"/>
        <v>100</v>
      </c>
      <c r="X45" s="1567"/>
      <c r="Y45" s="3691"/>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768"/>
      <c r="Q46" s="1572">
        <f t="shared" si="11"/>
        <v>111</v>
      </c>
      <c r="R46" s="1573" t="s">
        <v>8</v>
      </c>
      <c r="S46" s="1574">
        <f t="shared" si="12"/>
        <v>100</v>
      </c>
      <c r="T46" s="1573" t="s">
        <v>8</v>
      </c>
      <c r="U46" s="1574">
        <f t="shared" si="13"/>
        <v>100</v>
      </c>
      <c r="V46" s="1573" t="s">
        <v>8</v>
      </c>
      <c r="W46" s="1574">
        <f t="shared" si="14"/>
        <v>100</v>
      </c>
      <c r="X46" s="1567"/>
      <c r="Y46" s="3768"/>
      <c r="Z46" s="1575">
        <f t="shared" si="15"/>
        <v>111</v>
      </c>
      <c r="AA46" s="1576">
        <f t="shared" si="3"/>
        <v>1</v>
      </c>
      <c r="AB46" s="1576">
        <f t="shared" si="4"/>
        <v>1</v>
      </c>
      <c r="AC46" s="1576">
        <f t="shared" si="5"/>
        <v>1</v>
      </c>
    </row>
    <row r="47" spans="1:29" ht="15">
      <c r="A47" s="607" t="s">
        <v>737</v>
      </c>
      <c r="B47" s="887"/>
      <c r="C47" s="2652" t="s">
        <v>1</v>
      </c>
      <c r="D47" s="2653"/>
      <c r="E47" s="2654"/>
      <c r="F47" s="2655"/>
      <c r="G47" s="2656"/>
      <c r="H47" s="2657"/>
      <c r="I47" s="2654"/>
      <c r="J47" s="2657"/>
      <c r="K47" s="1611"/>
      <c r="L47" s="2145"/>
      <c r="M47" s="2146"/>
      <c r="N47" s="2135"/>
      <c r="O47" s="2146"/>
      <c r="P47" s="3654" t="str">
        <f>A47</f>
        <v>成交单价（元/平方米）</v>
      </c>
      <c r="Q47" s="3654"/>
      <c r="R47" s="3767">
        <f>E47</f>
        <v>0</v>
      </c>
      <c r="S47" s="3767"/>
      <c r="T47" s="3767">
        <f>G47</f>
        <v>0</v>
      </c>
      <c r="U47" s="3767"/>
      <c r="V47" s="3767">
        <f>I47</f>
        <v>0</v>
      </c>
      <c r="W47" s="3767"/>
      <c r="X47" s="1559"/>
      <c r="Y47" s="1581"/>
      <c r="Z47" s="1559"/>
      <c r="AA47" s="1559"/>
      <c r="AB47" s="1559"/>
      <c r="AC47" s="1559"/>
    </row>
    <row r="48" spans="1:29" ht="15.75" thickBot="1">
      <c r="A48" s="615" t="s">
        <v>2767</v>
      </c>
      <c r="B48" s="888"/>
      <c r="C48" s="2658" t="e">
        <f>R49</f>
        <v>#DIV/0!</v>
      </c>
      <c r="D48" s="2659"/>
      <c r="E48" s="2660" t="e">
        <f>R48</f>
        <v>#DIV/0!</v>
      </c>
      <c r="F48" s="2660"/>
      <c r="G48" s="2658" t="e">
        <f>T48</f>
        <v>#DIV/0!</v>
      </c>
      <c r="H48" s="2659"/>
      <c r="I48" s="2660" t="e">
        <f>V48</f>
        <v>#DIV/0!</v>
      </c>
      <c r="J48" s="2659"/>
      <c r="K48" s="1612"/>
      <c r="L48" s="2145"/>
      <c r="M48" s="2146"/>
      <c r="N48" s="2135"/>
      <c r="O48" s="2146"/>
      <c r="P48" s="3654" t="str">
        <f>A48</f>
        <v>比较价格（元/平方米）</v>
      </c>
      <c r="Q48" s="3654"/>
      <c r="R48" s="3767" t="e">
        <f>IF(F1="售价",ROUND(PRODUCT(R47,AA7:AA46),0),ROUND(PRODUCT(R47,AA7:AA46),1))</f>
        <v>#DIV/0!</v>
      </c>
      <c r="S48" s="3767"/>
      <c r="T48" s="3767" t="e">
        <f>IF(F1="售价",ROUND(PRODUCT(T47,AB7:AB46),0),ROUND(PRODUCT(T47,AB7:AB46),1))</f>
        <v>#DIV/0!</v>
      </c>
      <c r="U48" s="3767"/>
      <c r="V48" s="3767" t="e">
        <f>IF(F1="售价",ROUND(PRODUCT(V47,AC7:AC46),0),ROUND(PRODUCT(V47,AC7:AC46),1))</f>
        <v>#DIV/0!</v>
      </c>
      <c r="W48" s="3767"/>
      <c r="X48" s="1559"/>
      <c r="Y48" s="1559"/>
      <c r="Z48" s="1559"/>
      <c r="AA48" s="1559"/>
      <c r="AB48" s="1559"/>
      <c r="AC48" s="1559"/>
    </row>
    <row r="49" spans="1:29" ht="15.75" thickBot="1">
      <c r="A49" s="621" t="s">
        <v>2944</v>
      </c>
      <c r="B49" s="622"/>
      <c r="C49" s="2661" t="e">
        <f>R49</f>
        <v>#DIV/0!</v>
      </c>
      <c r="D49" s="2661"/>
      <c r="E49" s="2661"/>
      <c r="F49" s="2661"/>
      <c r="G49" s="2661"/>
      <c r="H49" s="2661"/>
      <c r="I49" s="2661"/>
      <c r="J49" s="2661"/>
      <c r="K49" s="1613"/>
      <c r="L49" s="2145"/>
      <c r="M49" s="2146"/>
      <c r="N49" s="2135"/>
      <c r="O49" s="2146"/>
      <c r="P49" s="3651" t="str">
        <f>A49</f>
        <v>估价对象XX用房的比较价格（楼面单价，元/平方米）</v>
      </c>
      <c r="Q49" s="3652"/>
      <c r="R49" s="3766" t="e">
        <f>IF(F1="售价",ROUND(AVERAGE(R48:V48),0),ROUND(AVERAGE(R48:V48),1))</f>
        <v>#DIV/0!</v>
      </c>
      <c r="S49" s="3766"/>
      <c r="T49" s="3766"/>
      <c r="U49" s="3766"/>
      <c r="V49" s="3766"/>
      <c r="W49" s="3766"/>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28" t="str">
        <f>YEAR(C7)&amp;"-"&amp;MONTH(C7)</f>
        <v>2018-3</v>
      </c>
      <c r="D58" s="2830">
        <f>EDATE(C58,-1)</f>
        <v>43132</v>
      </c>
      <c r="E58" s="2830">
        <f t="shared" ref="E58:O58" si="16">EDATE(D58,-1)</f>
        <v>43101</v>
      </c>
      <c r="F58" s="2830">
        <f t="shared" si="16"/>
        <v>43070</v>
      </c>
      <c r="G58" s="2830">
        <f t="shared" si="16"/>
        <v>43040</v>
      </c>
      <c r="H58" s="2830">
        <f t="shared" si="16"/>
        <v>43009</v>
      </c>
      <c r="I58" s="2830">
        <f t="shared" si="16"/>
        <v>42979</v>
      </c>
      <c r="J58" s="2830">
        <f t="shared" si="16"/>
        <v>42948</v>
      </c>
      <c r="K58" s="2830">
        <f t="shared" si="16"/>
        <v>42917</v>
      </c>
      <c r="L58" s="2830">
        <f t="shared" si="16"/>
        <v>42887</v>
      </c>
      <c r="M58" s="2830">
        <f t="shared" si="16"/>
        <v>42856</v>
      </c>
      <c r="N58" s="2830">
        <f t="shared" si="16"/>
        <v>42826</v>
      </c>
      <c r="O58" s="2830">
        <f t="shared" si="16"/>
        <v>42795</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2564</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2565</v>
      </c>
      <c r="C82" s="2623" t="s">
        <v>2566</v>
      </c>
      <c r="D82" s="2623" t="s">
        <v>2567</v>
      </c>
      <c r="E82" s="2623" t="s">
        <v>2568</v>
      </c>
      <c r="F82" s="2623" t="s">
        <v>2569</v>
      </c>
      <c r="G82" s="2623" t="s">
        <v>2570</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772</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773</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2563</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3"/>
      <c r="G1" s="1601" t="s">
        <v>722</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522</v>
      </c>
      <c r="B4" s="513"/>
      <c r="C4" s="3660" t="s">
        <v>523</v>
      </c>
      <c r="D4" s="3661"/>
      <c r="E4" s="3694" t="s">
        <v>524</v>
      </c>
      <c r="F4" s="3695"/>
      <c r="G4" s="3660" t="s">
        <v>525</v>
      </c>
      <c r="H4" s="3661"/>
      <c r="I4" s="3660" t="s">
        <v>526</v>
      </c>
      <c r="J4" s="3661"/>
      <c r="K4" s="514" t="s">
        <v>527</v>
      </c>
      <c r="L4" s="2134"/>
      <c r="M4" s="2135"/>
      <c r="N4" s="2135"/>
      <c r="O4" s="2135"/>
      <c r="P4" s="3770" t="s">
        <v>528</v>
      </c>
      <c r="Q4" s="3663"/>
      <c r="R4" s="3668" t="s">
        <v>524</v>
      </c>
      <c r="S4" s="3669"/>
      <c r="T4" s="3668" t="s">
        <v>525</v>
      </c>
      <c r="U4" s="3669"/>
      <c r="V4" s="3655" t="s">
        <v>526</v>
      </c>
      <c r="W4" s="3655"/>
      <c r="X4" s="1567"/>
      <c r="Y4" s="3668" t="s">
        <v>528</v>
      </c>
      <c r="Z4" s="3669"/>
      <c r="AA4" s="3657" t="s">
        <v>524</v>
      </c>
      <c r="AB4" s="3657" t="s">
        <v>525</v>
      </c>
      <c r="AC4" s="3657" t="s">
        <v>526</v>
      </c>
    </row>
    <row r="5" spans="1:29" ht="15">
      <c r="A5" s="515"/>
      <c r="B5" s="516"/>
      <c r="C5" s="3676" t="s">
        <v>2938</v>
      </c>
      <c r="D5" s="3677"/>
      <c r="E5" s="3696" t="s">
        <v>2939</v>
      </c>
      <c r="F5" s="3697"/>
      <c r="G5" s="3676" t="s">
        <v>2940</v>
      </c>
      <c r="H5" s="3677"/>
      <c r="I5" s="3676" t="s">
        <v>2941</v>
      </c>
      <c r="J5" s="3677"/>
      <c r="K5" s="514"/>
      <c r="L5" s="2134"/>
      <c r="M5" s="2135"/>
      <c r="N5" s="2135"/>
      <c r="O5" s="2135"/>
      <c r="P5" s="3771"/>
      <c r="Q5" s="3665"/>
      <c r="R5" s="3670"/>
      <c r="S5" s="3671"/>
      <c r="T5" s="3670"/>
      <c r="U5" s="3671"/>
      <c r="V5" s="3655"/>
      <c r="W5" s="3655"/>
      <c r="X5" s="1567"/>
      <c r="Y5" s="3670"/>
      <c r="Z5" s="3671"/>
      <c r="AA5" s="3658"/>
      <c r="AB5" s="3658"/>
      <c r="AC5" s="3658"/>
    </row>
    <row r="6" spans="1:29" ht="15.75" thickBot="1">
      <c r="A6" s="517"/>
      <c r="B6" s="518"/>
      <c r="C6" s="3674" t="s">
        <v>2942</v>
      </c>
      <c r="D6" s="3675"/>
      <c r="E6" s="3692" t="s">
        <v>2942</v>
      </c>
      <c r="F6" s="3693"/>
      <c r="G6" s="3674" t="s">
        <v>2942</v>
      </c>
      <c r="H6" s="3675"/>
      <c r="I6" s="3674" t="s">
        <v>2942</v>
      </c>
      <c r="J6" s="3675"/>
      <c r="K6" s="514" t="s">
        <v>529</v>
      </c>
      <c r="L6" s="2134"/>
      <c r="M6" s="2135"/>
      <c r="N6" s="2135"/>
      <c r="O6" s="2135"/>
      <c r="P6" s="3772"/>
      <c r="Q6" s="3667"/>
      <c r="R6" s="3670"/>
      <c r="S6" s="3671"/>
      <c r="T6" s="3672"/>
      <c r="U6" s="3673"/>
      <c r="V6" s="3655"/>
      <c r="W6" s="3655"/>
      <c r="X6" s="1567"/>
      <c r="Y6" s="3672"/>
      <c r="Z6" s="3673"/>
      <c r="AA6" s="3659"/>
      <c r="AB6" s="3659"/>
      <c r="AC6" s="3659"/>
    </row>
    <row r="7" spans="1:29" s="1220" customFormat="1" ht="15.75" thickBot="1">
      <c r="A7" s="2938"/>
      <c r="B7" s="2945" t="s">
        <v>530</v>
      </c>
      <c r="C7" s="519">
        <f>'数据-取费表'!B2</f>
        <v>43167</v>
      </c>
      <c r="D7" s="520">
        <v>100</v>
      </c>
      <c r="E7" s="521"/>
      <c r="F7" s="522">
        <f>SUMIF(59:59,YEAR(E7)&amp;"-"&amp;MONTH(E7),60:60)</f>
        <v>0</v>
      </c>
      <c r="G7" s="521"/>
      <c r="H7" s="520">
        <f>SUMIF(59:59,YEAR(G7)&amp;"-"&amp;MONTH(G7),60:60)</f>
        <v>0</v>
      </c>
      <c r="I7" s="521"/>
      <c r="J7" s="520">
        <f>SUMIF(59:59,YEAR(I7)&amp;"-"&amp;MONTH(I7),60:60)</f>
        <v>0</v>
      </c>
      <c r="K7" s="524"/>
      <c r="L7" s="2136"/>
      <c r="M7" s="2137"/>
      <c r="N7" s="2137"/>
      <c r="O7" s="2137"/>
      <c r="P7" s="3687" t="s">
        <v>531</v>
      </c>
      <c r="Q7" s="3687"/>
      <c r="R7" s="1568" t="s">
        <v>8</v>
      </c>
      <c r="S7" s="1569">
        <f t="shared" ref="S7:S15" si="0">F7</f>
        <v>0</v>
      </c>
      <c r="T7" s="1568" t="s">
        <v>8</v>
      </c>
      <c r="U7" s="1569">
        <f t="shared" ref="U7:U15" si="1">H7</f>
        <v>0</v>
      </c>
      <c r="V7" s="1568" t="s">
        <v>8</v>
      </c>
      <c r="W7" s="1569">
        <f t="shared" ref="W7:W15" si="2">J7</f>
        <v>0</v>
      </c>
      <c r="X7" s="1570"/>
      <c r="Y7" s="3685" t="s">
        <v>531</v>
      </c>
      <c r="Z7" s="3686"/>
      <c r="AA7" s="1571" t="e">
        <f>D7/F7</f>
        <v>#DIV/0!</v>
      </c>
      <c r="AB7" s="1571" t="e">
        <f>D7/H7</f>
        <v>#DIV/0!</v>
      </c>
      <c r="AC7" s="1571" t="e">
        <f>D7/J7</f>
        <v>#DIV/0!</v>
      </c>
    </row>
    <row r="8" spans="1:29" s="1220"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687" t="s">
        <v>534</v>
      </c>
      <c r="Q8" s="3686"/>
      <c r="R8" s="1568" t="s">
        <v>8</v>
      </c>
      <c r="S8" s="1569">
        <f t="shared" si="0"/>
        <v>0</v>
      </c>
      <c r="T8" s="1568" t="s">
        <v>8</v>
      </c>
      <c r="U8" s="1569">
        <f t="shared" si="1"/>
        <v>0</v>
      </c>
      <c r="V8" s="1568" t="s">
        <v>8</v>
      </c>
      <c r="W8" s="1569">
        <f t="shared" si="2"/>
        <v>0</v>
      </c>
      <c r="X8" s="1570"/>
      <c r="Y8" s="3685" t="s">
        <v>534</v>
      </c>
      <c r="Z8" s="3686"/>
      <c r="AA8" s="1571" t="e">
        <f t="shared" ref="AA8:AA47" si="3">D8/F8</f>
        <v>#DIV/0!</v>
      </c>
      <c r="AB8" s="1571" t="e">
        <f t="shared" ref="AB8:AB47" si="4">D8/H8</f>
        <v>#DIV/0!</v>
      </c>
      <c r="AC8" s="1571" t="e">
        <f t="shared" ref="AC8:AC47" si="5">D8/J8</f>
        <v>#DIV/0!</v>
      </c>
    </row>
    <row r="9" spans="1:29" s="1220" customFormat="1" ht="15">
      <c r="A9" s="2940"/>
      <c r="B9" s="2947" t="s">
        <v>2763</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654" t="s">
        <v>536</v>
      </c>
      <c r="Q9" s="1151" t="str">
        <f t="shared" ref="Q9:Q15" si="6">B9</f>
        <v>用途</v>
      </c>
      <c r="R9" s="1568" t="s">
        <v>8</v>
      </c>
      <c r="S9" s="1569">
        <f t="shared" si="0"/>
        <v>100</v>
      </c>
      <c r="T9" s="1568" t="s">
        <v>8</v>
      </c>
      <c r="U9" s="1569">
        <f t="shared" si="1"/>
        <v>100</v>
      </c>
      <c r="V9" s="1568" t="s">
        <v>8</v>
      </c>
      <c r="W9" s="1569">
        <f t="shared" si="2"/>
        <v>100</v>
      </c>
      <c r="X9" s="1570"/>
      <c r="Y9" s="3600"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654"/>
      <c r="Q10" s="1151" t="str">
        <f t="shared" si="6"/>
        <v>土地使用年限（年）</v>
      </c>
      <c r="R10" s="1568" t="s">
        <v>8</v>
      </c>
      <c r="S10" s="1569">
        <f t="shared" si="0"/>
        <v>100</v>
      </c>
      <c r="T10" s="1568" t="s">
        <v>8</v>
      </c>
      <c r="U10" s="1569">
        <f t="shared" si="1"/>
        <v>100</v>
      </c>
      <c r="V10" s="1568" t="s">
        <v>8</v>
      </c>
      <c r="W10" s="1569">
        <f t="shared" si="2"/>
        <v>100</v>
      </c>
      <c r="X10" s="1570"/>
      <c r="Y10" s="3600"/>
      <c r="Z10" s="1150" t="str">
        <f t="shared" si="7"/>
        <v>土地使用年限（年）</v>
      </c>
      <c r="AA10" s="1571">
        <f t="shared" si="3"/>
        <v>1</v>
      </c>
      <c r="AB10" s="1571">
        <f t="shared" si="4"/>
        <v>1</v>
      </c>
      <c r="AC10" s="1571">
        <f t="shared" si="5"/>
        <v>1</v>
      </c>
    </row>
    <row r="11" spans="1:29" ht="15">
      <c r="A11" s="2942"/>
      <c r="B11" s="2946" t="s">
        <v>2765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654"/>
      <c r="Q11" s="1151" t="str">
        <f t="shared" si="6"/>
        <v>容积率</v>
      </c>
      <c r="R11" s="1568" t="s">
        <v>8</v>
      </c>
      <c r="S11" s="1569" t="e">
        <f t="shared" si="0"/>
        <v>#N/A</v>
      </c>
      <c r="T11" s="1568" t="s">
        <v>8</v>
      </c>
      <c r="U11" s="1569" t="e">
        <f t="shared" si="1"/>
        <v>#N/A</v>
      </c>
      <c r="V11" s="1568" t="s">
        <v>8</v>
      </c>
      <c r="W11" s="1569" t="e">
        <f t="shared" si="2"/>
        <v>#N/A</v>
      </c>
      <c r="X11" s="1570"/>
      <c r="Y11" s="3600"/>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654"/>
      <c r="Q12" s="1151">
        <f t="shared" si="6"/>
        <v>111</v>
      </c>
      <c r="R12" s="1568" t="s">
        <v>8</v>
      </c>
      <c r="S12" s="1569">
        <f t="shared" si="0"/>
        <v>100</v>
      </c>
      <c r="T12" s="1568" t="s">
        <v>8</v>
      </c>
      <c r="U12" s="1569">
        <f t="shared" si="1"/>
        <v>100</v>
      </c>
      <c r="V12" s="1568" t="s">
        <v>8</v>
      </c>
      <c r="W12" s="1569">
        <f t="shared" si="2"/>
        <v>100</v>
      </c>
      <c r="X12" s="1570"/>
      <c r="Y12" s="3600"/>
      <c r="Z12" s="1150">
        <f t="shared" si="7"/>
        <v>111</v>
      </c>
      <c r="AA12" s="1571">
        <f>D12/F12</f>
        <v>1</v>
      </c>
      <c r="AB12" s="1571">
        <f>D12/H12</f>
        <v>1</v>
      </c>
      <c r="AC12" s="1571">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654"/>
      <c r="Q13" s="1151">
        <f t="shared" si="6"/>
        <v>111</v>
      </c>
      <c r="R13" s="1568" t="s">
        <v>8</v>
      </c>
      <c r="S13" s="1569">
        <f t="shared" si="0"/>
        <v>100</v>
      </c>
      <c r="T13" s="1568" t="s">
        <v>8</v>
      </c>
      <c r="U13" s="1569">
        <f t="shared" si="1"/>
        <v>100</v>
      </c>
      <c r="V13" s="1568" t="s">
        <v>8</v>
      </c>
      <c r="W13" s="1569">
        <f t="shared" si="2"/>
        <v>100</v>
      </c>
      <c r="X13" s="1570"/>
      <c r="Y13" s="3600"/>
      <c r="Z13" s="1150">
        <f t="shared" si="7"/>
        <v>111</v>
      </c>
      <c r="AA13" s="1571">
        <f t="shared" si="3"/>
        <v>1</v>
      </c>
      <c r="AB13" s="1571">
        <f t="shared" si="4"/>
        <v>1</v>
      </c>
      <c r="AC13" s="1571">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654"/>
      <c r="Q14" s="1151">
        <f t="shared" si="6"/>
        <v>111</v>
      </c>
      <c r="R14" s="1568" t="s">
        <v>8</v>
      </c>
      <c r="S14" s="1569">
        <f t="shared" si="0"/>
        <v>100</v>
      </c>
      <c r="T14" s="1568" t="s">
        <v>8</v>
      </c>
      <c r="U14" s="1569">
        <f t="shared" si="1"/>
        <v>100</v>
      </c>
      <c r="V14" s="1568" t="s">
        <v>8</v>
      </c>
      <c r="W14" s="1569">
        <f t="shared" si="2"/>
        <v>100</v>
      </c>
      <c r="X14" s="1570"/>
      <c r="Y14" s="3600"/>
      <c r="Z14" s="1150">
        <f t="shared" si="7"/>
        <v>111</v>
      </c>
      <c r="AA14" s="1571">
        <f t="shared" si="3"/>
        <v>1</v>
      </c>
      <c r="AB14" s="1571">
        <f t="shared" si="4"/>
        <v>1</v>
      </c>
      <c r="AC14" s="1571">
        <f t="shared" si="5"/>
        <v>1</v>
      </c>
    </row>
    <row r="15" spans="1:29" ht="71.25">
      <c r="A15" s="2936" t="s">
        <v>2761</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688" t="s">
        <v>541</v>
      </c>
      <c r="Q15" s="1572" t="str">
        <f t="shared" si="6"/>
        <v>办公集聚程度</v>
      </c>
      <c r="R15" s="1573" t="s">
        <v>8</v>
      </c>
      <c r="S15" s="1574">
        <f t="shared" si="0"/>
        <v>100</v>
      </c>
      <c r="T15" s="1573" t="s">
        <v>8</v>
      </c>
      <c r="U15" s="1574">
        <f t="shared" si="1"/>
        <v>100</v>
      </c>
      <c r="V15" s="1573" t="s">
        <v>8</v>
      </c>
      <c r="W15" s="1574">
        <f t="shared" si="2"/>
        <v>100</v>
      </c>
      <c r="X15" s="1567"/>
      <c r="Y15" s="3688" t="s">
        <v>541</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689"/>
      <c r="Q16" s="1572"/>
      <c r="R16" s="1573"/>
      <c r="S16" s="1574"/>
      <c r="T16" s="1573"/>
      <c r="U16" s="1574"/>
      <c r="V16" s="1573"/>
      <c r="W16" s="1574"/>
      <c r="X16" s="1567"/>
      <c r="Y16" s="3689"/>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689"/>
      <c r="Q17" s="1572" t="str">
        <f>B17</f>
        <v>交通便捷度</v>
      </c>
      <c r="R17" s="1573" t="s">
        <v>8</v>
      </c>
      <c r="S17" s="1574">
        <f>F17</f>
        <v>100</v>
      </c>
      <c r="T17" s="1573" t="s">
        <v>8</v>
      </c>
      <c r="U17" s="1574">
        <f>H17</f>
        <v>100</v>
      </c>
      <c r="V17" s="1573" t="s">
        <v>8</v>
      </c>
      <c r="W17" s="1574">
        <f>J17</f>
        <v>100</v>
      </c>
      <c r="X17" s="1567"/>
      <c r="Y17" s="3689"/>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689"/>
      <c r="Q18" s="1572"/>
      <c r="R18" s="1573"/>
      <c r="S18" s="1574"/>
      <c r="T18" s="1573"/>
      <c r="U18" s="1574"/>
      <c r="V18" s="1573"/>
      <c r="W18" s="1574"/>
      <c r="X18" s="1567"/>
      <c r="Y18" s="3689"/>
      <c r="Z18" s="1575"/>
      <c r="AA18" s="1576">
        <v>1</v>
      </c>
      <c r="AB18" s="1576">
        <v>1</v>
      </c>
      <c r="AC18" s="1576">
        <v>1</v>
      </c>
    </row>
    <row r="19" spans="1:29" ht="42.75">
      <c r="A19" s="532"/>
      <c r="B19" s="2628" t="s">
        <v>2553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689"/>
      <c r="Q19" s="1572" t="str">
        <f>B19</f>
        <v>公共配套设施</v>
      </c>
      <c r="R19" s="1573" t="s">
        <v>8</v>
      </c>
      <c r="S19" s="1574">
        <f>F19</f>
        <v>100</v>
      </c>
      <c r="T19" s="1573" t="s">
        <v>8</v>
      </c>
      <c r="U19" s="1574">
        <f>H19</f>
        <v>100</v>
      </c>
      <c r="V19" s="1573" t="s">
        <v>8</v>
      </c>
      <c r="W19" s="1574">
        <f>J19</f>
        <v>100</v>
      </c>
      <c r="X19" s="1567"/>
      <c r="Y19" s="3689"/>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689"/>
      <c r="Q20" s="1572"/>
      <c r="R20" s="1573"/>
      <c r="S20" s="1574"/>
      <c r="T20" s="1573"/>
      <c r="U20" s="1574"/>
      <c r="V20" s="1573"/>
      <c r="W20" s="1574"/>
      <c r="X20" s="1567"/>
      <c r="Y20" s="3689"/>
      <c r="Z20" s="1575"/>
      <c r="AA20" s="1576">
        <v>1</v>
      </c>
      <c r="AB20" s="1576">
        <v>1</v>
      </c>
      <c r="AC20" s="1576">
        <v>1</v>
      </c>
    </row>
    <row r="21" spans="1:29" ht="28.5">
      <c r="A21" s="532"/>
      <c r="B21" s="2616" t="s">
        <v>2565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689"/>
      <c r="Q21" s="2604" t="str">
        <f>B21</f>
        <v>基础设施水平</v>
      </c>
      <c r="R21" s="1573" t="s">
        <v>8</v>
      </c>
      <c r="S21" s="1574">
        <f>F21</f>
        <v>100</v>
      </c>
      <c r="T21" s="1573" t="s">
        <v>8</v>
      </c>
      <c r="U21" s="1574">
        <f>H21</f>
        <v>100</v>
      </c>
      <c r="V21" s="1573" t="s">
        <v>8</v>
      </c>
      <c r="W21" s="1574">
        <f>J21</f>
        <v>100</v>
      </c>
      <c r="X21" s="2606"/>
      <c r="Y21" s="3689"/>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689"/>
      <c r="Q22" s="2604"/>
      <c r="R22" s="1573"/>
      <c r="S22" s="1574"/>
      <c r="T22" s="1573"/>
      <c r="U22" s="1574"/>
      <c r="V22" s="1573"/>
      <c r="W22" s="1574"/>
      <c r="X22" s="2606"/>
      <c r="Y22" s="3689"/>
      <c r="Z22" s="2605"/>
      <c r="AA22" s="1576">
        <v>1</v>
      </c>
      <c r="AB22" s="1576">
        <v>1</v>
      </c>
      <c r="AC22" s="1576">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689"/>
      <c r="Q23" s="1572" t="str">
        <f>B23</f>
        <v>环境质量</v>
      </c>
      <c r="R23" s="1573" t="s">
        <v>8</v>
      </c>
      <c r="S23" s="1574">
        <f>F23</f>
        <v>100</v>
      </c>
      <c r="T23" s="1573" t="s">
        <v>8</v>
      </c>
      <c r="U23" s="1574">
        <f>H23</f>
        <v>100</v>
      </c>
      <c r="V23" s="1573" t="s">
        <v>8</v>
      </c>
      <c r="W23" s="1574">
        <f>J23</f>
        <v>100</v>
      </c>
      <c r="X23" s="1567"/>
      <c r="Y23" s="3689"/>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689"/>
      <c r="Q24" s="1572"/>
      <c r="R24" s="1573"/>
      <c r="S24" s="1574"/>
      <c r="T24" s="1573"/>
      <c r="U24" s="1574"/>
      <c r="V24" s="1573"/>
      <c r="W24" s="1574"/>
      <c r="X24" s="1567"/>
      <c r="Y24" s="3689"/>
      <c r="Z24" s="1575"/>
      <c r="AA24" s="1576">
        <v>1</v>
      </c>
      <c r="AB24" s="1576">
        <v>1</v>
      </c>
      <c r="AC24" s="1576">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689"/>
      <c r="Q25" s="1572" t="str">
        <f>B25</f>
        <v>毗邻道路的类型与等级</v>
      </c>
      <c r="R25" s="1573" t="s">
        <v>8</v>
      </c>
      <c r="S25" s="1574">
        <f>F25</f>
        <v>100</v>
      </c>
      <c r="T25" s="1573" t="s">
        <v>8</v>
      </c>
      <c r="U25" s="1574">
        <f>H25</f>
        <v>100</v>
      </c>
      <c r="V25" s="1573" t="s">
        <v>8</v>
      </c>
      <c r="W25" s="1574">
        <f>J25</f>
        <v>100</v>
      </c>
      <c r="X25" s="1567"/>
      <c r="Y25" s="3689"/>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689"/>
      <c r="Q26" s="1572"/>
      <c r="R26" s="1573"/>
      <c r="S26" s="1574"/>
      <c r="T26" s="1573"/>
      <c r="U26" s="1574"/>
      <c r="V26" s="1573"/>
      <c r="W26" s="1574"/>
      <c r="X26" s="1567"/>
      <c r="Y26" s="3689"/>
      <c r="Z26" s="1575"/>
      <c r="AA26" s="1576">
        <v>1</v>
      </c>
      <c r="AB26" s="1576">
        <v>1</v>
      </c>
      <c r="AC26" s="1576">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689"/>
      <c r="Q27" s="1572" t="str">
        <f t="shared" ref="Q27:Q47" si="11">B27</f>
        <v>楼层</v>
      </c>
      <c r="R27" s="1573" t="s">
        <v>8</v>
      </c>
      <c r="S27" s="1574">
        <f>F27</f>
        <v>100</v>
      </c>
      <c r="T27" s="1573" t="s">
        <v>8</v>
      </c>
      <c r="U27" s="1574">
        <f>H27</f>
        <v>100</v>
      </c>
      <c r="V27" s="1573" t="s">
        <v>8</v>
      </c>
      <c r="W27" s="1574">
        <f>J27</f>
        <v>100</v>
      </c>
      <c r="X27" s="1567"/>
      <c r="Y27" s="3689"/>
      <c r="Z27" s="1575" t="str">
        <f>Q27</f>
        <v>楼层</v>
      </c>
      <c r="AA27" s="1576">
        <f t="shared" si="3"/>
        <v>1</v>
      </c>
      <c r="AB27" s="1576">
        <f t="shared" si="4"/>
        <v>1</v>
      </c>
      <c r="AC27" s="1576">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689"/>
      <c r="Q28" s="1151" t="str">
        <f t="shared" si="11"/>
        <v>朝向</v>
      </c>
      <c r="R28" s="1568" t="s">
        <v>8</v>
      </c>
      <c r="S28" s="1569">
        <f>F28</f>
        <v>100</v>
      </c>
      <c r="T28" s="1568" t="s">
        <v>8</v>
      </c>
      <c r="U28" s="1569">
        <f>H28</f>
        <v>100</v>
      </c>
      <c r="V28" s="1568" t="s">
        <v>8</v>
      </c>
      <c r="W28" s="1569">
        <f>J28</f>
        <v>100</v>
      </c>
      <c r="X28" s="1570"/>
      <c r="Y28" s="3689"/>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689"/>
      <c r="Q29" s="1572">
        <f t="shared" si="11"/>
        <v>111</v>
      </c>
      <c r="R29" s="1573" t="s">
        <v>8</v>
      </c>
      <c r="S29" s="1574">
        <f t="shared" ref="S29:S47" si="12">F29</f>
        <v>100</v>
      </c>
      <c r="T29" s="1573" t="s">
        <v>8</v>
      </c>
      <c r="U29" s="1574">
        <f t="shared" ref="U29:U47" si="13">H29</f>
        <v>100</v>
      </c>
      <c r="V29" s="1573" t="s">
        <v>8</v>
      </c>
      <c r="W29" s="1574">
        <f t="shared" ref="W29:W47" si="14">J29</f>
        <v>100</v>
      </c>
      <c r="X29" s="1567"/>
      <c r="Y29" s="3689"/>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689"/>
      <c r="Q30" s="1572">
        <f t="shared" si="11"/>
        <v>111</v>
      </c>
      <c r="R30" s="1573" t="s">
        <v>8</v>
      </c>
      <c r="S30" s="1574">
        <f t="shared" si="12"/>
        <v>100</v>
      </c>
      <c r="T30" s="1573" t="s">
        <v>8</v>
      </c>
      <c r="U30" s="1574">
        <f t="shared" si="13"/>
        <v>100</v>
      </c>
      <c r="V30" s="1573" t="s">
        <v>8</v>
      </c>
      <c r="W30" s="1574">
        <f t="shared" si="14"/>
        <v>100</v>
      </c>
      <c r="X30" s="1567"/>
      <c r="Y30" s="3689"/>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689"/>
      <c r="Q31" s="1572">
        <f t="shared" si="11"/>
        <v>111</v>
      </c>
      <c r="R31" s="1573" t="s">
        <v>8</v>
      </c>
      <c r="S31" s="1574">
        <f t="shared" si="12"/>
        <v>100</v>
      </c>
      <c r="T31" s="1573" t="s">
        <v>8</v>
      </c>
      <c r="U31" s="1574">
        <f t="shared" si="13"/>
        <v>100</v>
      </c>
      <c r="V31" s="1573" t="s">
        <v>8</v>
      </c>
      <c r="W31" s="1574">
        <f t="shared" si="14"/>
        <v>100</v>
      </c>
      <c r="X31" s="1567"/>
      <c r="Y31" s="3689"/>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689"/>
      <c r="Q32" s="1572">
        <f t="shared" si="11"/>
        <v>111</v>
      </c>
      <c r="R32" s="1573" t="s">
        <v>8</v>
      </c>
      <c r="S32" s="1574">
        <f t="shared" si="12"/>
        <v>100</v>
      </c>
      <c r="T32" s="1573" t="s">
        <v>8</v>
      </c>
      <c r="U32" s="1574">
        <f t="shared" si="13"/>
        <v>100</v>
      </c>
      <c r="V32" s="1573" t="s">
        <v>8</v>
      </c>
      <c r="W32" s="1574">
        <f t="shared" si="14"/>
        <v>100</v>
      </c>
      <c r="X32" s="1567"/>
      <c r="Y32" s="3689"/>
      <c r="Z32" s="1575">
        <f t="shared" si="15"/>
        <v>111</v>
      </c>
      <c r="AA32" s="1576">
        <f t="shared" si="3"/>
        <v>1</v>
      </c>
      <c r="AB32" s="1576">
        <f t="shared" si="4"/>
        <v>1</v>
      </c>
      <c r="AC32" s="1576">
        <f t="shared" si="5"/>
        <v>1</v>
      </c>
    </row>
    <row r="33" spans="1:29" ht="15">
      <c r="A33" s="2933" t="s">
        <v>2762</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690" t="s">
        <v>551</v>
      </c>
      <c r="Q33" s="1572" t="str">
        <f t="shared" si="11"/>
        <v>建筑类型</v>
      </c>
      <c r="R33" s="1573" t="s">
        <v>8</v>
      </c>
      <c r="S33" s="1574">
        <f t="shared" si="12"/>
        <v>100</v>
      </c>
      <c r="T33" s="1573" t="s">
        <v>8</v>
      </c>
      <c r="U33" s="1574">
        <f t="shared" si="13"/>
        <v>100</v>
      </c>
      <c r="V33" s="1573" t="s">
        <v>8</v>
      </c>
      <c r="W33" s="1574">
        <f t="shared" si="14"/>
        <v>100</v>
      </c>
      <c r="X33" s="1567"/>
      <c r="Y33" s="3691" t="s">
        <v>551</v>
      </c>
      <c r="Z33" s="1575" t="str">
        <f t="shared" si="15"/>
        <v>建筑类型</v>
      </c>
      <c r="AA33" s="1576">
        <f t="shared" si="3"/>
        <v>1</v>
      </c>
      <c r="AB33" s="1576">
        <f t="shared" si="4"/>
        <v>1</v>
      </c>
      <c r="AC33" s="1576">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691"/>
      <c r="Q34" s="1605" t="str">
        <f t="shared" si="11"/>
        <v>项目建筑规模</v>
      </c>
      <c r="R34" s="1577" t="s">
        <v>8</v>
      </c>
      <c r="S34" s="1578" t="e">
        <f t="shared" si="12"/>
        <v>#N/A</v>
      </c>
      <c r="T34" s="1577" t="s">
        <v>8</v>
      </c>
      <c r="U34" s="1578" t="e">
        <f t="shared" si="13"/>
        <v>#N/A</v>
      </c>
      <c r="V34" s="1577" t="s">
        <v>8</v>
      </c>
      <c r="W34" s="1578" t="e">
        <f t="shared" si="14"/>
        <v>#N/A</v>
      </c>
      <c r="X34" s="1579"/>
      <c r="Y34" s="3691"/>
      <c r="Z34" s="1580" t="str">
        <f t="shared" si="15"/>
        <v>项目建筑规模</v>
      </c>
      <c r="AA34" s="1576" t="e">
        <f t="shared" si="3"/>
        <v>#N/A</v>
      </c>
      <c r="AB34" s="1576" t="e">
        <f t="shared" si="4"/>
        <v>#N/A</v>
      </c>
      <c r="AC34" s="1576"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691"/>
      <c r="Q35" s="1572" t="str">
        <f t="shared" si="11"/>
        <v>建筑结构</v>
      </c>
      <c r="R35" s="1573" t="s">
        <v>8</v>
      </c>
      <c r="S35" s="1574">
        <f t="shared" si="12"/>
        <v>100</v>
      </c>
      <c r="T35" s="1573" t="s">
        <v>8</v>
      </c>
      <c r="U35" s="1574">
        <f t="shared" si="13"/>
        <v>100</v>
      </c>
      <c r="V35" s="1573" t="s">
        <v>8</v>
      </c>
      <c r="W35" s="1574">
        <f t="shared" si="14"/>
        <v>100</v>
      </c>
      <c r="X35" s="1567"/>
      <c r="Y35" s="3691"/>
      <c r="Z35" s="1575" t="str">
        <f t="shared" si="15"/>
        <v>建筑结构</v>
      </c>
      <c r="AA35" s="1576">
        <f t="shared" si="3"/>
        <v>1</v>
      </c>
      <c r="AB35" s="1576">
        <f t="shared" si="4"/>
        <v>1</v>
      </c>
      <c r="AC35" s="1576">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691"/>
      <c r="Q36" s="1572" t="str">
        <f t="shared" si="11"/>
        <v>公共部分装修</v>
      </c>
      <c r="R36" s="1573" t="s">
        <v>8</v>
      </c>
      <c r="S36" s="1574">
        <f t="shared" si="12"/>
        <v>100</v>
      </c>
      <c r="T36" s="1573" t="s">
        <v>8</v>
      </c>
      <c r="U36" s="1574">
        <f t="shared" si="13"/>
        <v>100</v>
      </c>
      <c r="V36" s="1573" t="s">
        <v>8</v>
      </c>
      <c r="W36" s="1574">
        <f t="shared" si="14"/>
        <v>100</v>
      </c>
      <c r="X36" s="1567"/>
      <c r="Y36" s="3691"/>
      <c r="Z36" s="1575" t="str">
        <f t="shared" si="15"/>
        <v>公共部分装修</v>
      </c>
      <c r="AA36" s="1576">
        <f t="shared" si="3"/>
        <v>1</v>
      </c>
      <c r="AB36" s="1576">
        <f t="shared" si="4"/>
        <v>1</v>
      </c>
      <c r="AC36" s="1576">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691"/>
      <c r="Q37" s="1572" t="str">
        <f t="shared" si="11"/>
        <v>成新度</v>
      </c>
      <c r="R37" s="1573" t="s">
        <v>8</v>
      </c>
      <c r="S37" s="1574" t="e">
        <f t="shared" si="12"/>
        <v>#N/A</v>
      </c>
      <c r="T37" s="1573" t="s">
        <v>8</v>
      </c>
      <c r="U37" s="1574" t="e">
        <f t="shared" si="13"/>
        <v>#N/A</v>
      </c>
      <c r="V37" s="1573" t="s">
        <v>8</v>
      </c>
      <c r="W37" s="1574" t="e">
        <f t="shared" si="14"/>
        <v>#N/A</v>
      </c>
      <c r="X37" s="1567"/>
      <c r="Y37" s="3691"/>
      <c r="Z37" s="1575" t="str">
        <f t="shared" si="15"/>
        <v>成新度</v>
      </c>
      <c r="AA37" s="1576" t="e">
        <f t="shared" si="3"/>
        <v>#N/A</v>
      </c>
      <c r="AB37" s="1576" t="e">
        <f t="shared" si="4"/>
        <v>#N/A</v>
      </c>
      <c r="AC37" s="1576"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691"/>
      <c r="Q38" s="1151" t="str">
        <f t="shared" si="11"/>
        <v>写字楼等级</v>
      </c>
      <c r="R38" s="1568" t="s">
        <v>8</v>
      </c>
      <c r="S38" s="1569">
        <f t="shared" si="12"/>
        <v>100</v>
      </c>
      <c r="T38" s="1568" t="s">
        <v>8</v>
      </c>
      <c r="U38" s="1569">
        <f t="shared" si="13"/>
        <v>100</v>
      </c>
      <c r="V38" s="1568" t="s">
        <v>8</v>
      </c>
      <c r="W38" s="1569">
        <f t="shared" si="14"/>
        <v>100</v>
      </c>
      <c r="X38" s="1570"/>
      <c r="Y38" s="3691"/>
      <c r="Z38" s="1150" t="str">
        <f t="shared" si="15"/>
        <v>写字楼等级</v>
      </c>
      <c r="AA38" s="1571">
        <f t="shared" si="3"/>
        <v>1</v>
      </c>
      <c r="AB38" s="1571">
        <f t="shared" si="4"/>
        <v>1</v>
      </c>
      <c r="AC38" s="1571">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691" t="s">
        <v>551</v>
      </c>
      <c r="Q39" s="1572" t="str">
        <f t="shared" si="11"/>
        <v>物业管理</v>
      </c>
      <c r="R39" s="1573" t="s">
        <v>8</v>
      </c>
      <c r="S39" s="1574">
        <f t="shared" si="12"/>
        <v>100</v>
      </c>
      <c r="T39" s="1573" t="s">
        <v>8</v>
      </c>
      <c r="U39" s="1574">
        <f t="shared" si="13"/>
        <v>100</v>
      </c>
      <c r="V39" s="1573" t="s">
        <v>8</v>
      </c>
      <c r="W39" s="1574">
        <f t="shared" si="14"/>
        <v>100</v>
      </c>
      <c r="X39" s="1567"/>
      <c r="Y39" s="3691" t="s">
        <v>551</v>
      </c>
      <c r="Z39" s="1575" t="str">
        <f t="shared" si="15"/>
        <v>物业管理</v>
      </c>
      <c r="AA39" s="1576">
        <f t="shared" si="3"/>
        <v>1</v>
      </c>
      <c r="AB39" s="1576">
        <f t="shared" si="4"/>
        <v>1</v>
      </c>
      <c r="AC39" s="1576">
        <f t="shared" si="5"/>
        <v>1</v>
      </c>
    </row>
    <row r="40" spans="1:29" ht="15">
      <c r="A40" s="594"/>
      <c r="B40" s="1896" t="s">
        <v>2572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691"/>
      <c r="Q40" s="1572" t="str">
        <f t="shared" si="11"/>
        <v>市政基础设施</v>
      </c>
      <c r="R40" s="1573" t="s">
        <v>8</v>
      </c>
      <c r="S40" s="1574">
        <f t="shared" si="12"/>
        <v>100</v>
      </c>
      <c r="T40" s="1573" t="s">
        <v>8</v>
      </c>
      <c r="U40" s="1574">
        <f t="shared" si="13"/>
        <v>100</v>
      </c>
      <c r="V40" s="1573" t="s">
        <v>8</v>
      </c>
      <c r="W40" s="1574">
        <f t="shared" si="14"/>
        <v>100</v>
      </c>
      <c r="X40" s="1567"/>
      <c r="Y40" s="3691"/>
      <c r="Z40" s="1575" t="str">
        <f t="shared" si="15"/>
        <v>市政基础设施</v>
      </c>
      <c r="AA40" s="1576">
        <f t="shared" si="3"/>
        <v>1</v>
      </c>
      <c r="AB40" s="1576">
        <f t="shared" si="4"/>
        <v>1</v>
      </c>
      <c r="AC40" s="1576">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691"/>
      <c r="Q41" s="1572" t="str">
        <f t="shared" si="11"/>
        <v>层高</v>
      </c>
      <c r="R41" s="1573" t="s">
        <v>8</v>
      </c>
      <c r="S41" s="1574">
        <f t="shared" si="12"/>
        <v>100</v>
      </c>
      <c r="T41" s="1573" t="s">
        <v>8</v>
      </c>
      <c r="U41" s="1574">
        <f t="shared" si="13"/>
        <v>100</v>
      </c>
      <c r="V41" s="1573" t="s">
        <v>8</v>
      </c>
      <c r="W41" s="1574">
        <f t="shared" si="14"/>
        <v>100</v>
      </c>
      <c r="X41" s="1567"/>
      <c r="Y41" s="3691"/>
      <c r="Z41" s="1575" t="str">
        <f t="shared" si="15"/>
        <v>层高</v>
      </c>
      <c r="AA41" s="1576">
        <f t="shared" si="3"/>
        <v>1</v>
      </c>
      <c r="AB41" s="1576">
        <f t="shared" si="4"/>
        <v>1</v>
      </c>
      <c r="AC41" s="1576">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691"/>
      <c r="Q42" s="1605" t="str">
        <f t="shared" si="11"/>
        <v>单套建筑面积</v>
      </c>
      <c r="R42" s="1577" t="s">
        <v>8</v>
      </c>
      <c r="S42" s="1578">
        <f t="shared" si="12"/>
        <v>100</v>
      </c>
      <c r="T42" s="1577" t="s">
        <v>8</v>
      </c>
      <c r="U42" s="1578">
        <f t="shared" si="13"/>
        <v>100</v>
      </c>
      <c r="V42" s="1577" t="s">
        <v>8</v>
      </c>
      <c r="W42" s="1578">
        <f t="shared" si="14"/>
        <v>100</v>
      </c>
      <c r="X42" s="1579"/>
      <c r="Y42" s="3691"/>
      <c r="Z42" s="1580" t="str">
        <f t="shared" si="15"/>
        <v>单套建筑面积</v>
      </c>
      <c r="AA42" s="1576">
        <f t="shared" si="3"/>
        <v>1</v>
      </c>
      <c r="AB42" s="1576">
        <f t="shared" si="4"/>
        <v>1</v>
      </c>
      <c r="AC42" s="1576">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691"/>
      <c r="Q43" s="1572" t="str">
        <f t="shared" si="11"/>
        <v>内部装修</v>
      </c>
      <c r="R43" s="1573" t="s">
        <v>8</v>
      </c>
      <c r="S43" s="1574">
        <f t="shared" si="12"/>
        <v>100</v>
      </c>
      <c r="T43" s="1573" t="s">
        <v>8</v>
      </c>
      <c r="U43" s="1574">
        <f t="shared" si="13"/>
        <v>100</v>
      </c>
      <c r="V43" s="1573" t="s">
        <v>8</v>
      </c>
      <c r="W43" s="1574">
        <f t="shared" si="14"/>
        <v>100</v>
      </c>
      <c r="X43" s="1567"/>
      <c r="Y43" s="3691"/>
      <c r="Z43" s="1575" t="str">
        <f t="shared" si="15"/>
        <v>内部装修</v>
      </c>
      <c r="AA43" s="1576">
        <f t="shared" si="3"/>
        <v>1</v>
      </c>
      <c r="AB43" s="1576">
        <f t="shared" si="4"/>
        <v>1</v>
      </c>
      <c r="AC43" s="1576">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691"/>
      <c r="Q44" s="1572" t="str">
        <f t="shared" si="11"/>
        <v>内部装修维护情况</v>
      </c>
      <c r="R44" s="1573" t="s">
        <v>8</v>
      </c>
      <c r="S44" s="1574">
        <f t="shared" si="12"/>
        <v>100</v>
      </c>
      <c r="T44" s="1573" t="s">
        <v>8</v>
      </c>
      <c r="U44" s="1574">
        <f t="shared" si="13"/>
        <v>100</v>
      </c>
      <c r="V44" s="1573" t="s">
        <v>8</v>
      </c>
      <c r="W44" s="1574">
        <f t="shared" si="14"/>
        <v>100</v>
      </c>
      <c r="X44" s="1567"/>
      <c r="Y44" s="3691"/>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691"/>
      <c r="Q45" s="1151">
        <f t="shared" si="11"/>
        <v>111</v>
      </c>
      <c r="R45" s="1568" t="s">
        <v>8</v>
      </c>
      <c r="S45" s="1569">
        <f t="shared" si="12"/>
        <v>100</v>
      </c>
      <c r="T45" s="1568" t="s">
        <v>8</v>
      </c>
      <c r="U45" s="1569">
        <f t="shared" si="13"/>
        <v>100</v>
      </c>
      <c r="V45" s="1568" t="s">
        <v>8</v>
      </c>
      <c r="W45" s="1569">
        <f t="shared" si="14"/>
        <v>100</v>
      </c>
      <c r="X45" s="1570"/>
      <c r="Y45" s="3691"/>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691"/>
      <c r="Q46" s="1572">
        <f t="shared" si="11"/>
        <v>111</v>
      </c>
      <c r="R46" s="1573" t="s">
        <v>8</v>
      </c>
      <c r="S46" s="1574">
        <f t="shared" si="12"/>
        <v>100</v>
      </c>
      <c r="T46" s="1573" t="s">
        <v>8</v>
      </c>
      <c r="U46" s="1574">
        <f t="shared" si="13"/>
        <v>100</v>
      </c>
      <c r="V46" s="1573" t="s">
        <v>8</v>
      </c>
      <c r="W46" s="1574">
        <f t="shared" si="14"/>
        <v>100</v>
      </c>
      <c r="X46" s="1567"/>
      <c r="Y46" s="3691"/>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768"/>
      <c r="Q47" s="1572">
        <f t="shared" si="11"/>
        <v>111</v>
      </c>
      <c r="R47" s="1573" t="s">
        <v>8</v>
      </c>
      <c r="S47" s="1574">
        <f t="shared" si="12"/>
        <v>100</v>
      </c>
      <c r="T47" s="1573" t="s">
        <v>8</v>
      </c>
      <c r="U47" s="1574">
        <f t="shared" si="13"/>
        <v>100</v>
      </c>
      <c r="V47" s="1573" t="s">
        <v>8</v>
      </c>
      <c r="W47" s="1574">
        <f t="shared" si="14"/>
        <v>100</v>
      </c>
      <c r="X47" s="1567"/>
      <c r="Y47" s="3768"/>
      <c r="Z47" s="1575">
        <f t="shared" si="15"/>
        <v>111</v>
      </c>
      <c r="AA47" s="1576">
        <f t="shared" si="3"/>
        <v>1</v>
      </c>
      <c r="AB47" s="1576">
        <f t="shared" si="4"/>
        <v>1</v>
      </c>
      <c r="AC47" s="1576">
        <f t="shared" si="5"/>
        <v>1</v>
      </c>
    </row>
    <row r="48" spans="1:29" ht="15">
      <c r="A48" s="607" t="s">
        <v>737</v>
      </c>
      <c r="B48" s="887"/>
      <c r="C48" s="2652" t="s">
        <v>1</v>
      </c>
      <c r="D48" s="2653"/>
      <c r="E48" s="2654"/>
      <c r="F48" s="2655"/>
      <c r="G48" s="2656"/>
      <c r="H48" s="2657"/>
      <c r="I48" s="2654"/>
      <c r="J48" s="2657"/>
      <c r="K48" s="1611"/>
      <c r="L48" s="2145"/>
      <c r="M48" s="2135"/>
      <c r="N48" s="2135"/>
      <c r="O48" s="2135"/>
      <c r="P48" s="3652" t="str">
        <f>A48</f>
        <v>成交单价（元/平方米）</v>
      </c>
      <c r="Q48" s="3654"/>
      <c r="R48" s="3767">
        <f>E48</f>
        <v>0</v>
      </c>
      <c r="S48" s="3767"/>
      <c r="T48" s="3767">
        <f>G48</f>
        <v>0</v>
      </c>
      <c r="U48" s="3767"/>
      <c r="V48" s="3767">
        <f>I48</f>
        <v>0</v>
      </c>
      <c r="W48" s="3767"/>
      <c r="X48" s="1559"/>
      <c r="Y48" s="1581"/>
      <c r="Z48" s="1559"/>
      <c r="AA48" s="1559"/>
      <c r="AB48" s="1559"/>
      <c r="AC48" s="1559"/>
    </row>
    <row r="49" spans="1:29" ht="15.75" thickBot="1">
      <c r="A49" s="615" t="s">
        <v>2767</v>
      </c>
      <c r="B49" s="888"/>
      <c r="C49" s="2658" t="e">
        <f>R50</f>
        <v>#DIV/0!</v>
      </c>
      <c r="D49" s="2659"/>
      <c r="E49" s="2660" t="e">
        <f>R49</f>
        <v>#DIV/0!</v>
      </c>
      <c r="F49" s="2660"/>
      <c r="G49" s="2658" t="e">
        <f>T49</f>
        <v>#DIV/0!</v>
      </c>
      <c r="H49" s="2659"/>
      <c r="I49" s="2660" t="e">
        <f>V49</f>
        <v>#DIV/0!</v>
      </c>
      <c r="J49" s="2659"/>
      <c r="K49" s="1612"/>
      <c r="L49" s="2145"/>
      <c r="M49" s="2135"/>
      <c r="N49" s="2135"/>
      <c r="O49" s="2135"/>
      <c r="P49" s="3652" t="str">
        <f>A49</f>
        <v>比较价格（元/平方米）</v>
      </c>
      <c r="Q49" s="3654"/>
      <c r="R49" s="3767" t="e">
        <f>IF(F1="售价",ROUND(PRODUCT(R48,AA7:AA47),0),ROUND(PRODUCT(R48,AA7:AA47),1))</f>
        <v>#DIV/0!</v>
      </c>
      <c r="S49" s="3767"/>
      <c r="T49" s="3767" t="e">
        <f>IF(F1="售价",ROUND(PRODUCT(T48,AB7:AB47),0),ROUND(PRODUCT(T48,AB7:AB47),1))</f>
        <v>#DIV/0!</v>
      </c>
      <c r="U49" s="3767"/>
      <c r="V49" s="3767" t="e">
        <f>IF(F1="售价",ROUND(PRODUCT(V48,AC7:AC47),0),ROUND(PRODUCT(V48,AC7:AC47),1))</f>
        <v>#DIV/0!</v>
      </c>
      <c r="W49" s="3767"/>
      <c r="X49" s="1559"/>
      <c r="Y49" s="1559"/>
      <c r="Z49" s="1559"/>
      <c r="AA49" s="1559"/>
      <c r="AB49" s="1559"/>
      <c r="AC49" s="1559"/>
    </row>
    <row r="50" spans="1:29" ht="15.75" thickBot="1">
      <c r="A50" s="621" t="s">
        <v>2944</v>
      </c>
      <c r="B50" s="622"/>
      <c r="C50" s="2661" t="e">
        <f>R50</f>
        <v>#DIV/0!</v>
      </c>
      <c r="D50" s="2661"/>
      <c r="E50" s="2661"/>
      <c r="F50" s="2661"/>
      <c r="G50" s="2661"/>
      <c r="H50" s="2661"/>
      <c r="I50" s="2661"/>
      <c r="J50" s="2661"/>
      <c r="K50" s="1613"/>
      <c r="L50" s="2145"/>
      <c r="M50" s="2135"/>
      <c r="N50" s="2135"/>
      <c r="O50" s="2135"/>
      <c r="P50" s="3769" t="str">
        <f>A50</f>
        <v>估价对象XX用房的比较价格（楼面单价，元/平方米）</v>
      </c>
      <c r="Q50" s="3652"/>
      <c r="R50" s="3766" t="e">
        <f>IF(F1="售价",ROUND(AVERAGE(R49:V49),0),ROUND(AVERAGE(R49:V49),1))</f>
        <v>#DIV/0!</v>
      </c>
      <c r="S50" s="3766"/>
      <c r="T50" s="3766"/>
      <c r="U50" s="3766"/>
      <c r="V50" s="3766"/>
      <c r="W50" s="3766"/>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530</v>
      </c>
      <c r="B59" s="646"/>
      <c r="C59" s="2828" t="str">
        <f>YEAR(C7)&amp;"-"&amp;MONTH(C7)</f>
        <v>2018-3</v>
      </c>
      <c r="D59" s="2830">
        <f>EDATE(C59,-1)</f>
        <v>43132</v>
      </c>
      <c r="E59" s="2830">
        <f t="shared" ref="E59:O59" si="16">EDATE(D59,-1)</f>
        <v>43101</v>
      </c>
      <c r="F59" s="2830">
        <f t="shared" si="16"/>
        <v>43070</v>
      </c>
      <c r="G59" s="2830">
        <f t="shared" si="16"/>
        <v>43040</v>
      </c>
      <c r="H59" s="2830">
        <f t="shared" si="16"/>
        <v>43009</v>
      </c>
      <c r="I59" s="2830">
        <f t="shared" si="16"/>
        <v>42979</v>
      </c>
      <c r="J59" s="2830">
        <f t="shared" si="16"/>
        <v>42948</v>
      </c>
      <c r="K59" s="2830">
        <f t="shared" si="16"/>
        <v>42917</v>
      </c>
      <c r="L59" s="2830">
        <f t="shared" si="16"/>
        <v>42887</v>
      </c>
      <c r="M59" s="2830">
        <f t="shared" si="16"/>
        <v>42856</v>
      </c>
      <c r="N59" s="2830">
        <f t="shared" si="16"/>
        <v>42826</v>
      </c>
      <c r="O59" s="2830">
        <f t="shared" si="16"/>
        <v>42795</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2564</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2565</v>
      </c>
      <c r="C83" s="2623" t="s">
        <v>2566</v>
      </c>
      <c r="D83" s="2623" t="s">
        <v>2567</v>
      </c>
      <c r="E83" s="2623" t="s">
        <v>2568</v>
      </c>
      <c r="F83" s="2623" t="s">
        <v>2569</v>
      </c>
      <c r="G83" s="2623" t="s">
        <v>2570</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786</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2563</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788</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522</v>
      </c>
      <c r="B4" s="513"/>
      <c r="C4" s="3660" t="s">
        <v>523</v>
      </c>
      <c r="D4" s="3661"/>
      <c r="E4" s="3694" t="s">
        <v>524</v>
      </c>
      <c r="F4" s="3695"/>
      <c r="G4" s="3660" t="s">
        <v>525</v>
      </c>
      <c r="H4" s="3661"/>
      <c r="I4" s="3660" t="s">
        <v>526</v>
      </c>
      <c r="J4" s="3661"/>
      <c r="K4" s="514" t="s">
        <v>527</v>
      </c>
      <c r="L4" s="2134"/>
      <c r="M4" s="2135"/>
      <c r="N4" s="2135"/>
      <c r="O4" s="2135"/>
      <c r="P4" s="3662" t="s">
        <v>528</v>
      </c>
      <c r="Q4" s="3663"/>
      <c r="R4" s="3668" t="s">
        <v>524</v>
      </c>
      <c r="S4" s="3669"/>
      <c r="T4" s="3668" t="s">
        <v>525</v>
      </c>
      <c r="U4" s="3669"/>
      <c r="V4" s="3655" t="s">
        <v>526</v>
      </c>
      <c r="W4" s="3655"/>
      <c r="X4" s="1567"/>
      <c r="Y4" s="3668" t="s">
        <v>528</v>
      </c>
      <c r="Z4" s="3669"/>
      <c r="AA4" s="3657" t="s">
        <v>524</v>
      </c>
      <c r="AB4" s="3658" t="s">
        <v>525</v>
      </c>
      <c r="AC4" s="3657" t="s">
        <v>526</v>
      </c>
    </row>
    <row r="5" spans="1:29" ht="15">
      <c r="A5" s="515"/>
      <c r="B5" s="516"/>
      <c r="C5" s="3676" t="s">
        <v>2938</v>
      </c>
      <c r="D5" s="3677"/>
      <c r="E5" s="3696" t="s">
        <v>2939</v>
      </c>
      <c r="F5" s="3697"/>
      <c r="G5" s="3676" t="s">
        <v>2940</v>
      </c>
      <c r="H5" s="3677"/>
      <c r="I5" s="3676" t="s">
        <v>2941</v>
      </c>
      <c r="J5" s="3677"/>
      <c r="K5" s="514"/>
      <c r="L5" s="2134"/>
      <c r="M5" s="2135"/>
      <c r="N5" s="2135"/>
      <c r="O5" s="2135"/>
      <c r="P5" s="3664"/>
      <c r="Q5" s="3665"/>
      <c r="R5" s="3670"/>
      <c r="S5" s="3671"/>
      <c r="T5" s="3670"/>
      <c r="U5" s="3671"/>
      <c r="V5" s="3655"/>
      <c r="W5" s="3655"/>
      <c r="X5" s="1567"/>
      <c r="Y5" s="3670"/>
      <c r="Z5" s="3671"/>
      <c r="AA5" s="3658"/>
      <c r="AB5" s="3658"/>
      <c r="AC5" s="3658"/>
    </row>
    <row r="6" spans="1:29" ht="15.75" thickBot="1">
      <c r="A6" s="517"/>
      <c r="B6" s="518"/>
      <c r="C6" s="3674" t="s">
        <v>2942</v>
      </c>
      <c r="D6" s="3675"/>
      <c r="E6" s="3692" t="s">
        <v>2942</v>
      </c>
      <c r="F6" s="3693"/>
      <c r="G6" s="3674" t="s">
        <v>2942</v>
      </c>
      <c r="H6" s="3675"/>
      <c r="I6" s="3674" t="s">
        <v>2942</v>
      </c>
      <c r="J6" s="3675"/>
      <c r="K6" s="514" t="s">
        <v>529</v>
      </c>
      <c r="L6" s="2134"/>
      <c r="M6" s="2135"/>
      <c r="N6" s="2135"/>
      <c r="O6" s="2135"/>
      <c r="P6" s="3666"/>
      <c r="Q6" s="3667"/>
      <c r="R6" s="3670"/>
      <c r="S6" s="3671"/>
      <c r="T6" s="3672"/>
      <c r="U6" s="3673"/>
      <c r="V6" s="3655"/>
      <c r="W6" s="3655"/>
      <c r="X6" s="1567"/>
      <c r="Y6" s="3672"/>
      <c r="Z6" s="3673"/>
      <c r="AA6" s="3659"/>
      <c r="AB6" s="3659"/>
      <c r="AC6" s="3659"/>
    </row>
    <row r="7" spans="1:29" s="1220" customFormat="1" ht="15.75" thickBot="1">
      <c r="A7" s="2938"/>
      <c r="B7" s="2945" t="s">
        <v>530</v>
      </c>
      <c r="C7" s="519">
        <f>'数据-取费表'!B2</f>
        <v>43167</v>
      </c>
      <c r="D7" s="520">
        <v>100</v>
      </c>
      <c r="E7" s="521"/>
      <c r="F7" s="522">
        <f>SUMIF(52:52,YEAR(E7)&amp;"-"&amp;MONTH(E7),53:53)</f>
        <v>0</v>
      </c>
      <c r="G7" s="521"/>
      <c r="H7" s="520">
        <f>SUMIF(52:52,YEAR(G7)&amp;"-"&amp;MONTH(G7),53:53)</f>
        <v>0</v>
      </c>
      <c r="I7" s="521"/>
      <c r="J7" s="520">
        <f>SUMIF(52:52,YEAR(I7)&amp;"-"&amp;MONTH(I7),53:53)</f>
        <v>0</v>
      </c>
      <c r="K7" s="524"/>
      <c r="L7" s="2136"/>
      <c r="M7" s="2137"/>
      <c r="N7" s="2137"/>
      <c r="O7" s="2137"/>
      <c r="P7" s="3685" t="s">
        <v>531</v>
      </c>
      <c r="Q7" s="3687"/>
      <c r="R7" s="1568" t="s">
        <v>8</v>
      </c>
      <c r="S7" s="1569">
        <f t="shared" ref="S7:S15" si="0">F7</f>
        <v>0</v>
      </c>
      <c r="T7" s="1568" t="s">
        <v>8</v>
      </c>
      <c r="U7" s="1569">
        <f t="shared" ref="U7:U15" si="1">H7</f>
        <v>0</v>
      </c>
      <c r="V7" s="1568" t="s">
        <v>8</v>
      </c>
      <c r="W7" s="1569">
        <f t="shared" ref="W7:W15" si="2">J7</f>
        <v>0</v>
      </c>
      <c r="X7" s="1570"/>
      <c r="Y7" s="3685" t="s">
        <v>531</v>
      </c>
      <c r="Z7" s="3686"/>
      <c r="AA7" s="1571" t="e">
        <f>D7/F7</f>
        <v>#DIV/0!</v>
      </c>
      <c r="AB7" s="1571" t="e">
        <f>D7/H7</f>
        <v>#DIV/0!</v>
      </c>
      <c r="AC7" s="1571" t="e">
        <f>D7/J7</f>
        <v>#DIV/0!</v>
      </c>
    </row>
    <row r="8" spans="1:29" s="1220"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685" t="s">
        <v>534</v>
      </c>
      <c r="Q8" s="3686"/>
      <c r="R8" s="1568" t="s">
        <v>8</v>
      </c>
      <c r="S8" s="1569">
        <f t="shared" si="0"/>
        <v>0</v>
      </c>
      <c r="T8" s="1568" t="s">
        <v>8</v>
      </c>
      <c r="U8" s="1569">
        <f t="shared" si="1"/>
        <v>0</v>
      </c>
      <c r="V8" s="1568" t="s">
        <v>8</v>
      </c>
      <c r="W8" s="1569">
        <f t="shared" si="2"/>
        <v>0</v>
      </c>
      <c r="X8" s="1570"/>
      <c r="Y8" s="3685" t="s">
        <v>534</v>
      </c>
      <c r="Z8" s="3686"/>
      <c r="AA8" s="1571" t="e">
        <f t="shared" ref="AA8:AA40" si="3">D8/F8</f>
        <v>#DIV/0!</v>
      </c>
      <c r="AB8" s="1571" t="e">
        <f t="shared" ref="AB8:AB40" si="4">D8/H8</f>
        <v>#DIV/0!</v>
      </c>
      <c r="AC8" s="1571" t="e">
        <f t="shared" ref="AC8:AC40" si="5">D8/J8</f>
        <v>#DIV/0!</v>
      </c>
    </row>
    <row r="9" spans="1:29" s="1220" customFormat="1" ht="15">
      <c r="A9" s="2940"/>
      <c r="B9" s="2947" t="s">
        <v>2763</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654" t="s">
        <v>536</v>
      </c>
      <c r="Q9" s="1151" t="str">
        <f t="shared" ref="Q9:Q15" si="6">B9</f>
        <v>用途</v>
      </c>
      <c r="R9" s="1568" t="s">
        <v>8</v>
      </c>
      <c r="S9" s="1569">
        <f t="shared" si="0"/>
        <v>100</v>
      </c>
      <c r="T9" s="1568" t="s">
        <v>8</v>
      </c>
      <c r="U9" s="1569">
        <f t="shared" si="1"/>
        <v>100</v>
      </c>
      <c r="V9" s="1568" t="s">
        <v>8</v>
      </c>
      <c r="W9" s="1569">
        <f t="shared" si="2"/>
        <v>100</v>
      </c>
      <c r="X9" s="1570"/>
      <c r="Y9" s="3600"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654"/>
      <c r="Q10" s="1151" t="str">
        <f t="shared" si="6"/>
        <v>土地使用年限（年）</v>
      </c>
      <c r="R10" s="1568" t="s">
        <v>8</v>
      </c>
      <c r="S10" s="1569">
        <f t="shared" si="0"/>
        <v>100</v>
      </c>
      <c r="T10" s="1568" t="s">
        <v>8</v>
      </c>
      <c r="U10" s="1569">
        <f t="shared" si="1"/>
        <v>100</v>
      </c>
      <c r="V10" s="1568" t="s">
        <v>8</v>
      </c>
      <c r="W10" s="1569">
        <f t="shared" si="2"/>
        <v>100</v>
      </c>
      <c r="X10" s="1570"/>
      <c r="Y10" s="3600"/>
      <c r="Z10" s="1150" t="str">
        <f t="shared" si="7"/>
        <v>土地使用年限（年）</v>
      </c>
      <c r="AA10" s="1571">
        <f t="shared" si="3"/>
        <v>1</v>
      </c>
      <c r="AB10" s="1571">
        <f t="shared" si="4"/>
        <v>1</v>
      </c>
      <c r="AC10" s="1571">
        <f t="shared" si="5"/>
        <v>1</v>
      </c>
    </row>
    <row r="11" spans="1:29" ht="15">
      <c r="A11" s="2942"/>
      <c r="B11" s="2946" t="s">
        <v>2765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654"/>
      <c r="Q11" s="1151" t="str">
        <f t="shared" si="6"/>
        <v>容积率</v>
      </c>
      <c r="R11" s="1568" t="s">
        <v>8</v>
      </c>
      <c r="S11" s="1569" t="e">
        <f t="shared" si="0"/>
        <v>#N/A</v>
      </c>
      <c r="T11" s="1568" t="s">
        <v>8</v>
      </c>
      <c r="U11" s="1569" t="e">
        <f t="shared" si="1"/>
        <v>#N/A</v>
      </c>
      <c r="V11" s="1568" t="s">
        <v>8</v>
      </c>
      <c r="W11" s="1569" t="e">
        <f t="shared" si="2"/>
        <v>#N/A</v>
      </c>
      <c r="X11" s="1570"/>
      <c r="Y11" s="3600"/>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654"/>
      <c r="Q12" s="1151">
        <f t="shared" si="6"/>
        <v>111</v>
      </c>
      <c r="R12" s="1568" t="s">
        <v>8</v>
      </c>
      <c r="S12" s="1569">
        <f t="shared" si="0"/>
        <v>100</v>
      </c>
      <c r="T12" s="1568" t="s">
        <v>8</v>
      </c>
      <c r="U12" s="1569">
        <f t="shared" si="1"/>
        <v>100</v>
      </c>
      <c r="V12" s="1568" t="s">
        <v>8</v>
      </c>
      <c r="W12" s="1569">
        <f t="shared" si="2"/>
        <v>100</v>
      </c>
      <c r="X12" s="1570"/>
      <c r="Y12" s="3600"/>
      <c r="Z12" s="1150">
        <f t="shared" si="7"/>
        <v>111</v>
      </c>
      <c r="AA12" s="1571">
        <f>D12/F12</f>
        <v>1</v>
      </c>
      <c r="AB12" s="1571">
        <f>D12/H12</f>
        <v>1</v>
      </c>
      <c r="AC12" s="1571">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654"/>
      <c r="Q13" s="1151">
        <f t="shared" si="6"/>
        <v>111</v>
      </c>
      <c r="R13" s="1568" t="s">
        <v>8</v>
      </c>
      <c r="S13" s="1569">
        <f t="shared" si="0"/>
        <v>100</v>
      </c>
      <c r="T13" s="1568" t="s">
        <v>8</v>
      </c>
      <c r="U13" s="1569">
        <f t="shared" si="1"/>
        <v>100</v>
      </c>
      <c r="V13" s="1568" t="s">
        <v>8</v>
      </c>
      <c r="W13" s="1569">
        <f t="shared" si="2"/>
        <v>100</v>
      </c>
      <c r="X13" s="1570"/>
      <c r="Y13" s="3600"/>
      <c r="Z13" s="1150">
        <f t="shared" si="7"/>
        <v>111</v>
      </c>
      <c r="AA13" s="1571">
        <f t="shared" si="3"/>
        <v>1</v>
      </c>
      <c r="AB13" s="1571">
        <f t="shared" si="4"/>
        <v>1</v>
      </c>
      <c r="AC13" s="1571">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654"/>
      <c r="Q14" s="1151">
        <f t="shared" si="6"/>
        <v>111</v>
      </c>
      <c r="R14" s="1568" t="s">
        <v>8</v>
      </c>
      <c r="S14" s="1569">
        <f t="shared" si="0"/>
        <v>100</v>
      </c>
      <c r="T14" s="1568" t="s">
        <v>8</v>
      </c>
      <c r="U14" s="1569">
        <f t="shared" si="1"/>
        <v>100</v>
      </c>
      <c r="V14" s="1568" t="s">
        <v>8</v>
      </c>
      <c r="W14" s="1569">
        <f t="shared" si="2"/>
        <v>100</v>
      </c>
      <c r="X14" s="1570"/>
      <c r="Y14" s="3600"/>
      <c r="Z14" s="1150">
        <f t="shared" si="7"/>
        <v>111</v>
      </c>
      <c r="AA14" s="1571">
        <f t="shared" si="3"/>
        <v>1</v>
      </c>
      <c r="AB14" s="1571">
        <f t="shared" si="4"/>
        <v>1</v>
      </c>
      <c r="AC14" s="1571">
        <f t="shared" si="5"/>
        <v>1</v>
      </c>
    </row>
    <row r="15" spans="1:29" ht="57">
      <c r="A15" s="2936" t="s">
        <v>2761</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688" t="s">
        <v>541</v>
      </c>
      <c r="Q15" s="1572" t="str">
        <f t="shared" si="6"/>
        <v>产业集聚程度</v>
      </c>
      <c r="R15" s="1573" t="s">
        <v>8</v>
      </c>
      <c r="S15" s="1574">
        <f t="shared" si="0"/>
        <v>100</v>
      </c>
      <c r="T15" s="1573" t="s">
        <v>8</v>
      </c>
      <c r="U15" s="1574">
        <f t="shared" si="1"/>
        <v>100</v>
      </c>
      <c r="V15" s="1573" t="s">
        <v>8</v>
      </c>
      <c r="W15" s="1574">
        <f t="shared" si="2"/>
        <v>100</v>
      </c>
      <c r="X15" s="1567"/>
      <c r="Y15" s="3688" t="s">
        <v>541</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689"/>
      <c r="Q16" s="1572"/>
      <c r="R16" s="1573"/>
      <c r="S16" s="1574"/>
      <c r="T16" s="1573"/>
      <c r="U16" s="1574"/>
      <c r="V16" s="1573"/>
      <c r="W16" s="1574"/>
      <c r="X16" s="1567"/>
      <c r="Y16" s="3689"/>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689"/>
      <c r="Q17" s="1572" t="str">
        <f>B17</f>
        <v>交通便捷度</v>
      </c>
      <c r="R17" s="1573" t="s">
        <v>8</v>
      </c>
      <c r="S17" s="1574">
        <f>F17</f>
        <v>100</v>
      </c>
      <c r="T17" s="1573" t="s">
        <v>8</v>
      </c>
      <c r="U17" s="1574">
        <f>H17</f>
        <v>100</v>
      </c>
      <c r="V17" s="1573" t="s">
        <v>8</v>
      </c>
      <c r="W17" s="1574">
        <f>J17</f>
        <v>100</v>
      </c>
      <c r="X17" s="1567"/>
      <c r="Y17" s="368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689"/>
      <c r="Q18" s="1572"/>
      <c r="R18" s="1573"/>
      <c r="S18" s="1574"/>
      <c r="T18" s="1573"/>
      <c r="U18" s="1574"/>
      <c r="V18" s="1573"/>
      <c r="W18" s="1574"/>
      <c r="X18" s="1567"/>
      <c r="Y18" s="3689"/>
      <c r="Z18" s="1575"/>
      <c r="AA18" s="1576">
        <v>1</v>
      </c>
      <c r="AB18" s="1576">
        <v>1</v>
      </c>
      <c r="AC18" s="1576">
        <v>1</v>
      </c>
    </row>
    <row r="19" spans="1:29" ht="42.75">
      <c r="A19" s="532"/>
      <c r="B19" s="2628" t="s">
        <v>2553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689"/>
      <c r="Q19" s="1572" t="str">
        <f>B19</f>
        <v>公共配套设施</v>
      </c>
      <c r="R19" s="1573" t="s">
        <v>8</v>
      </c>
      <c r="S19" s="1574">
        <f>F19</f>
        <v>100</v>
      </c>
      <c r="T19" s="1573" t="s">
        <v>8</v>
      </c>
      <c r="U19" s="1574">
        <f>H19</f>
        <v>100</v>
      </c>
      <c r="V19" s="1573" t="s">
        <v>8</v>
      </c>
      <c r="W19" s="1574">
        <f>J19</f>
        <v>100</v>
      </c>
      <c r="X19" s="1567"/>
      <c r="Y19" s="3689"/>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689"/>
      <c r="Q20" s="1572"/>
      <c r="R20" s="1573"/>
      <c r="S20" s="1574"/>
      <c r="T20" s="1573"/>
      <c r="U20" s="1574"/>
      <c r="V20" s="1573"/>
      <c r="W20" s="1574"/>
      <c r="X20" s="1567"/>
      <c r="Y20" s="3689"/>
      <c r="Z20" s="1575"/>
      <c r="AA20" s="1576">
        <v>1</v>
      </c>
      <c r="AB20" s="1576">
        <v>1</v>
      </c>
      <c r="AC20" s="1576">
        <v>1</v>
      </c>
    </row>
    <row r="21" spans="1:29" ht="28.5">
      <c r="A21" s="532"/>
      <c r="B21" s="2616" t="s">
        <v>2565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689"/>
      <c r="Q21" s="2604" t="str">
        <f>B21</f>
        <v>基础设施水平</v>
      </c>
      <c r="R21" s="1573" t="s">
        <v>8</v>
      </c>
      <c r="S21" s="1574">
        <f>F21</f>
        <v>100</v>
      </c>
      <c r="T21" s="1573" t="s">
        <v>8</v>
      </c>
      <c r="U21" s="1574">
        <f>H21</f>
        <v>100</v>
      </c>
      <c r="V21" s="1573" t="s">
        <v>8</v>
      </c>
      <c r="W21" s="1574">
        <f>J21</f>
        <v>100</v>
      </c>
      <c r="X21" s="2606"/>
      <c r="Y21" s="3689"/>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689"/>
      <c r="Q22" s="2604"/>
      <c r="R22" s="1573"/>
      <c r="S22" s="1574"/>
      <c r="T22" s="1573"/>
      <c r="U22" s="1574"/>
      <c r="V22" s="1573"/>
      <c r="W22" s="1574"/>
      <c r="X22" s="2606"/>
      <c r="Y22" s="3689"/>
      <c r="Z22" s="2605"/>
      <c r="AA22" s="1576">
        <v>1</v>
      </c>
      <c r="AB22" s="1576">
        <v>1</v>
      </c>
      <c r="AC22" s="1576">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689"/>
      <c r="Q23" s="1572" t="str">
        <f>B23</f>
        <v>环境质量</v>
      </c>
      <c r="R23" s="1573" t="s">
        <v>8</v>
      </c>
      <c r="S23" s="1574">
        <f>F23</f>
        <v>100</v>
      </c>
      <c r="T23" s="1573" t="s">
        <v>8</v>
      </c>
      <c r="U23" s="1574">
        <f>H23</f>
        <v>100</v>
      </c>
      <c r="V23" s="1573" t="s">
        <v>8</v>
      </c>
      <c r="W23" s="1574">
        <f>J23</f>
        <v>100</v>
      </c>
      <c r="X23" s="1567"/>
      <c r="Y23" s="3689"/>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689"/>
      <c r="Q24" s="1572"/>
      <c r="R24" s="1573"/>
      <c r="S24" s="1574"/>
      <c r="T24" s="1573"/>
      <c r="U24" s="1574"/>
      <c r="V24" s="1573"/>
      <c r="W24" s="1574"/>
      <c r="X24" s="1567"/>
      <c r="Y24" s="3689"/>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689"/>
      <c r="Q25" s="1572">
        <f>B25</f>
        <v>111</v>
      </c>
      <c r="R25" s="1573" t="s">
        <v>8</v>
      </c>
      <c r="S25" s="1574">
        <f>F25</f>
        <v>100</v>
      </c>
      <c r="T25" s="1573" t="s">
        <v>8</v>
      </c>
      <c r="U25" s="1574">
        <f>H25</f>
        <v>100</v>
      </c>
      <c r="V25" s="1573" t="s">
        <v>8</v>
      </c>
      <c r="W25" s="1574">
        <f>J25</f>
        <v>100</v>
      </c>
      <c r="X25" s="1567"/>
      <c r="Y25" s="3689"/>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689"/>
      <c r="Q26" s="1572">
        <f t="shared" ref="Q26:Q40" si="11">B26</f>
        <v>111</v>
      </c>
      <c r="R26" s="1573" t="s">
        <v>8</v>
      </c>
      <c r="S26" s="1574">
        <f>F26</f>
        <v>100</v>
      </c>
      <c r="T26" s="1573" t="s">
        <v>8</v>
      </c>
      <c r="U26" s="1574">
        <f>H26</f>
        <v>100</v>
      </c>
      <c r="V26" s="1573" t="s">
        <v>8</v>
      </c>
      <c r="W26" s="1574">
        <f>J26</f>
        <v>100</v>
      </c>
      <c r="X26" s="1567"/>
      <c r="Y26" s="3689"/>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689"/>
      <c r="Q27" s="1151">
        <f t="shared" si="11"/>
        <v>111</v>
      </c>
      <c r="R27" s="1568" t="s">
        <v>8</v>
      </c>
      <c r="S27" s="1569">
        <f>F27</f>
        <v>100</v>
      </c>
      <c r="T27" s="1568" t="s">
        <v>8</v>
      </c>
      <c r="U27" s="1569">
        <f>H27</f>
        <v>100</v>
      </c>
      <c r="V27" s="1568" t="s">
        <v>8</v>
      </c>
      <c r="W27" s="1569">
        <f>J27</f>
        <v>100</v>
      </c>
      <c r="X27" s="1570"/>
      <c r="Y27" s="3689"/>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689"/>
      <c r="Q28" s="1572">
        <f t="shared" si="11"/>
        <v>111</v>
      </c>
      <c r="R28" s="1573" t="s">
        <v>8</v>
      </c>
      <c r="S28" s="1574">
        <f t="shared" ref="S28:S40" si="12">F28</f>
        <v>100</v>
      </c>
      <c r="T28" s="1573" t="s">
        <v>8</v>
      </c>
      <c r="U28" s="1574">
        <f t="shared" ref="U28:U40" si="13">H28</f>
        <v>100</v>
      </c>
      <c r="V28" s="1573" t="s">
        <v>8</v>
      </c>
      <c r="W28" s="1574">
        <f t="shared" ref="W28:W40" si="14">J28</f>
        <v>100</v>
      </c>
      <c r="X28" s="1567"/>
      <c r="Y28" s="3689"/>
      <c r="Z28" s="1575">
        <f t="shared" ref="Z28:Z40" si="15">Q28</f>
        <v>111</v>
      </c>
      <c r="AA28" s="1576">
        <f t="shared" si="3"/>
        <v>1</v>
      </c>
      <c r="AB28" s="1576">
        <f t="shared" si="4"/>
        <v>1</v>
      </c>
      <c r="AC28" s="1576">
        <f t="shared" si="5"/>
        <v>1</v>
      </c>
    </row>
    <row r="29" spans="1:29" ht="15">
      <c r="A29" s="2933" t="s">
        <v>2762</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690" t="s">
        <v>551</v>
      </c>
      <c r="Q29" s="1572" t="str">
        <f t="shared" si="11"/>
        <v>建筑类型</v>
      </c>
      <c r="R29" s="1573" t="s">
        <v>8</v>
      </c>
      <c r="S29" s="1574">
        <f t="shared" si="12"/>
        <v>100</v>
      </c>
      <c r="T29" s="1573" t="s">
        <v>8</v>
      </c>
      <c r="U29" s="1574">
        <f t="shared" si="13"/>
        <v>100</v>
      </c>
      <c r="V29" s="1573" t="s">
        <v>8</v>
      </c>
      <c r="W29" s="1574">
        <f t="shared" si="14"/>
        <v>100</v>
      </c>
      <c r="X29" s="1567"/>
      <c r="Y29" s="3691" t="s">
        <v>551</v>
      </c>
      <c r="Z29" s="1575" t="str">
        <f t="shared" si="15"/>
        <v>建筑类型</v>
      </c>
      <c r="AA29" s="1576">
        <f t="shared" si="3"/>
        <v>1</v>
      </c>
      <c r="AB29" s="1576">
        <f t="shared" si="4"/>
        <v>1</v>
      </c>
      <c r="AC29" s="1576">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691"/>
      <c r="Q30" s="1605" t="str">
        <f t="shared" si="11"/>
        <v>项目建筑规模</v>
      </c>
      <c r="R30" s="1577" t="s">
        <v>8</v>
      </c>
      <c r="S30" s="1578" t="e">
        <f t="shared" si="12"/>
        <v>#N/A</v>
      </c>
      <c r="T30" s="1577" t="s">
        <v>8</v>
      </c>
      <c r="U30" s="1578" t="e">
        <f t="shared" si="13"/>
        <v>#N/A</v>
      </c>
      <c r="V30" s="1577" t="s">
        <v>8</v>
      </c>
      <c r="W30" s="1578" t="e">
        <f t="shared" si="14"/>
        <v>#N/A</v>
      </c>
      <c r="X30" s="1579"/>
      <c r="Y30" s="3691"/>
      <c r="Z30" s="1580" t="str">
        <f t="shared" si="15"/>
        <v>项目建筑规模</v>
      </c>
      <c r="AA30" s="1576" t="e">
        <f t="shared" si="3"/>
        <v>#N/A</v>
      </c>
      <c r="AB30" s="1576" t="e">
        <f t="shared" si="4"/>
        <v>#N/A</v>
      </c>
      <c r="AC30" s="1576"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691"/>
      <c r="Q31" s="1572" t="str">
        <f t="shared" si="11"/>
        <v>建筑结构</v>
      </c>
      <c r="R31" s="1573" t="s">
        <v>8</v>
      </c>
      <c r="S31" s="1574">
        <f t="shared" si="12"/>
        <v>100</v>
      </c>
      <c r="T31" s="1573" t="s">
        <v>8</v>
      </c>
      <c r="U31" s="1574">
        <f t="shared" si="13"/>
        <v>100</v>
      </c>
      <c r="V31" s="1573" t="s">
        <v>8</v>
      </c>
      <c r="W31" s="1574">
        <f t="shared" si="14"/>
        <v>100</v>
      </c>
      <c r="X31" s="1567"/>
      <c r="Y31" s="3691"/>
      <c r="Z31" s="1575" t="str">
        <f t="shared" si="15"/>
        <v>建筑结构</v>
      </c>
      <c r="AA31" s="1576">
        <f t="shared" si="3"/>
        <v>1</v>
      </c>
      <c r="AB31" s="1576">
        <f t="shared" si="4"/>
        <v>1</v>
      </c>
      <c r="AC31" s="1576">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691"/>
      <c r="Q32" s="1572" t="str">
        <f t="shared" si="11"/>
        <v>公共部分装修</v>
      </c>
      <c r="R32" s="1573" t="s">
        <v>8</v>
      </c>
      <c r="S32" s="1574">
        <f t="shared" si="12"/>
        <v>100</v>
      </c>
      <c r="T32" s="1573" t="s">
        <v>8</v>
      </c>
      <c r="U32" s="1574">
        <f t="shared" si="13"/>
        <v>100</v>
      </c>
      <c r="V32" s="1573" t="s">
        <v>8</v>
      </c>
      <c r="W32" s="1574">
        <f t="shared" si="14"/>
        <v>100</v>
      </c>
      <c r="X32" s="1567"/>
      <c r="Y32" s="3691"/>
      <c r="Z32" s="1575" t="str">
        <f t="shared" si="15"/>
        <v>公共部分装修</v>
      </c>
      <c r="AA32" s="1576">
        <f t="shared" si="3"/>
        <v>1</v>
      </c>
      <c r="AB32" s="1576">
        <f t="shared" si="4"/>
        <v>1</v>
      </c>
      <c r="AC32" s="1576">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691"/>
      <c r="Q33" s="1572" t="str">
        <f t="shared" si="11"/>
        <v>成新度</v>
      </c>
      <c r="R33" s="1573" t="s">
        <v>8</v>
      </c>
      <c r="S33" s="1574" t="e">
        <f t="shared" si="12"/>
        <v>#N/A</v>
      </c>
      <c r="T33" s="1573" t="s">
        <v>8</v>
      </c>
      <c r="U33" s="1574" t="e">
        <f t="shared" si="13"/>
        <v>#N/A</v>
      </c>
      <c r="V33" s="1573" t="s">
        <v>8</v>
      </c>
      <c r="W33" s="1574" t="e">
        <f t="shared" si="14"/>
        <v>#N/A</v>
      </c>
      <c r="X33" s="1567"/>
      <c r="Y33" s="3691"/>
      <c r="Z33" s="1575" t="str">
        <f t="shared" si="15"/>
        <v>成新度</v>
      </c>
      <c r="AA33" s="1576" t="e">
        <f t="shared" si="3"/>
        <v>#N/A</v>
      </c>
      <c r="AB33" s="1576" t="e">
        <f t="shared" si="4"/>
        <v>#N/A</v>
      </c>
      <c r="AC33" s="1576"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691"/>
      <c r="Q34" s="1151" t="str">
        <f t="shared" si="11"/>
        <v>物业管理</v>
      </c>
      <c r="R34" s="1568" t="s">
        <v>8</v>
      </c>
      <c r="S34" s="1569">
        <f t="shared" si="12"/>
        <v>100</v>
      </c>
      <c r="T34" s="1568" t="s">
        <v>8</v>
      </c>
      <c r="U34" s="1569">
        <f t="shared" si="13"/>
        <v>100</v>
      </c>
      <c r="V34" s="1568" t="s">
        <v>8</v>
      </c>
      <c r="W34" s="1569">
        <f t="shared" si="14"/>
        <v>100</v>
      </c>
      <c r="X34" s="1570"/>
      <c r="Y34" s="3691"/>
      <c r="Z34" s="1150" t="str">
        <f t="shared" si="15"/>
        <v>物业管理</v>
      </c>
      <c r="AA34" s="1571">
        <f t="shared" si="3"/>
        <v>1</v>
      </c>
      <c r="AB34" s="1571">
        <f t="shared" si="4"/>
        <v>1</v>
      </c>
      <c r="AC34" s="1571">
        <f t="shared" si="5"/>
        <v>1</v>
      </c>
    </row>
    <row r="35" spans="1:29" ht="15">
      <c r="A35" s="594"/>
      <c r="B35" s="1896" t="s">
        <v>2572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691" t="s">
        <v>551</v>
      </c>
      <c r="Q35" s="1572" t="str">
        <f t="shared" si="11"/>
        <v>市政基础设施</v>
      </c>
      <c r="R35" s="1573" t="s">
        <v>8</v>
      </c>
      <c r="S35" s="1574">
        <f t="shared" si="12"/>
        <v>100</v>
      </c>
      <c r="T35" s="1573" t="s">
        <v>8</v>
      </c>
      <c r="U35" s="1574">
        <f t="shared" si="13"/>
        <v>100</v>
      </c>
      <c r="V35" s="1573" t="s">
        <v>8</v>
      </c>
      <c r="W35" s="1574">
        <f t="shared" si="14"/>
        <v>100</v>
      </c>
      <c r="X35" s="1567"/>
      <c r="Y35" s="3691" t="s">
        <v>551</v>
      </c>
      <c r="Z35" s="1575" t="str">
        <f t="shared" si="15"/>
        <v>市政基础设施</v>
      </c>
      <c r="AA35" s="1576">
        <f t="shared" si="3"/>
        <v>1</v>
      </c>
      <c r="AB35" s="1576">
        <f t="shared" si="4"/>
        <v>1</v>
      </c>
      <c r="AC35" s="1576">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691"/>
      <c r="Q36" s="1572" t="str">
        <f t="shared" si="11"/>
        <v>内部装修</v>
      </c>
      <c r="R36" s="1573" t="s">
        <v>8</v>
      </c>
      <c r="S36" s="1574">
        <f t="shared" si="12"/>
        <v>100</v>
      </c>
      <c r="T36" s="1573" t="s">
        <v>8</v>
      </c>
      <c r="U36" s="1574">
        <f t="shared" si="13"/>
        <v>100</v>
      </c>
      <c r="V36" s="1573" t="s">
        <v>8</v>
      </c>
      <c r="W36" s="1574">
        <f t="shared" si="14"/>
        <v>100</v>
      </c>
      <c r="X36" s="1567"/>
      <c r="Y36" s="3691"/>
      <c r="Z36" s="1575" t="str">
        <f t="shared" si="15"/>
        <v>内部装修</v>
      </c>
      <c r="AA36" s="1576">
        <f t="shared" si="3"/>
        <v>1</v>
      </c>
      <c r="AB36" s="1576">
        <f t="shared" si="4"/>
        <v>1</v>
      </c>
      <c r="AC36" s="1576">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691"/>
      <c r="Q37" s="1572" t="str">
        <f t="shared" si="11"/>
        <v>内部装修状况</v>
      </c>
      <c r="R37" s="1573" t="s">
        <v>8</v>
      </c>
      <c r="S37" s="1574">
        <f t="shared" si="12"/>
        <v>100</v>
      </c>
      <c r="T37" s="1573" t="s">
        <v>8</v>
      </c>
      <c r="U37" s="1574">
        <f t="shared" si="13"/>
        <v>100</v>
      </c>
      <c r="V37" s="1573" t="s">
        <v>8</v>
      </c>
      <c r="W37" s="1574">
        <f t="shared" si="14"/>
        <v>100</v>
      </c>
      <c r="X37" s="1567"/>
      <c r="Y37" s="3691"/>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691"/>
      <c r="Q38" s="1605">
        <f t="shared" si="11"/>
        <v>111</v>
      </c>
      <c r="R38" s="1577" t="s">
        <v>8</v>
      </c>
      <c r="S38" s="1578">
        <f t="shared" si="12"/>
        <v>100</v>
      </c>
      <c r="T38" s="1577" t="s">
        <v>8</v>
      </c>
      <c r="U38" s="1578">
        <f t="shared" si="13"/>
        <v>100</v>
      </c>
      <c r="V38" s="1577" t="s">
        <v>8</v>
      </c>
      <c r="W38" s="1578">
        <f t="shared" si="14"/>
        <v>100</v>
      </c>
      <c r="X38" s="1579"/>
      <c r="Y38" s="3691"/>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691"/>
      <c r="Q39" s="1572">
        <f t="shared" si="11"/>
        <v>111</v>
      </c>
      <c r="R39" s="1573" t="s">
        <v>8</v>
      </c>
      <c r="S39" s="1574">
        <f t="shared" si="12"/>
        <v>100</v>
      </c>
      <c r="T39" s="1573" t="s">
        <v>8</v>
      </c>
      <c r="U39" s="1574">
        <f t="shared" si="13"/>
        <v>100</v>
      </c>
      <c r="V39" s="1573" t="s">
        <v>8</v>
      </c>
      <c r="W39" s="1574">
        <f t="shared" si="14"/>
        <v>100</v>
      </c>
      <c r="X39" s="1567"/>
      <c r="Y39" s="3691"/>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768"/>
      <c r="Q40" s="1572">
        <f t="shared" si="11"/>
        <v>111</v>
      </c>
      <c r="R40" s="1573" t="s">
        <v>8</v>
      </c>
      <c r="S40" s="1574">
        <f t="shared" si="12"/>
        <v>100</v>
      </c>
      <c r="T40" s="1573" t="s">
        <v>8</v>
      </c>
      <c r="U40" s="1574">
        <f t="shared" si="13"/>
        <v>100</v>
      </c>
      <c r="V40" s="1573" t="s">
        <v>8</v>
      </c>
      <c r="W40" s="1574">
        <f t="shared" si="14"/>
        <v>100</v>
      </c>
      <c r="X40" s="1567"/>
      <c r="Y40" s="3768"/>
      <c r="Z40" s="1575">
        <f t="shared" si="15"/>
        <v>111</v>
      </c>
      <c r="AA40" s="1576">
        <f t="shared" si="3"/>
        <v>1</v>
      </c>
      <c r="AB40" s="1576">
        <f t="shared" si="4"/>
        <v>1</v>
      </c>
      <c r="AC40" s="1576">
        <f t="shared" si="5"/>
        <v>1</v>
      </c>
    </row>
    <row r="41" spans="1:29" ht="15">
      <c r="A41" s="607" t="s">
        <v>737</v>
      </c>
      <c r="B41" s="887"/>
      <c r="C41" s="2652" t="s">
        <v>1</v>
      </c>
      <c r="D41" s="2653"/>
      <c r="E41" s="2654"/>
      <c r="F41" s="2655"/>
      <c r="G41" s="2656"/>
      <c r="H41" s="2657"/>
      <c r="I41" s="2654"/>
      <c r="J41" s="2657"/>
      <c r="K41" s="1611"/>
      <c r="L41" s="2145"/>
      <c r="M41" s="2146"/>
      <c r="N41" s="2135"/>
      <c r="O41" s="2146"/>
      <c r="P41" s="3654" t="str">
        <f>A41</f>
        <v>成交单价（元/平方米）</v>
      </c>
      <c r="Q41" s="3654"/>
      <c r="R41" s="3767">
        <f>E41</f>
        <v>0</v>
      </c>
      <c r="S41" s="3767"/>
      <c r="T41" s="3767">
        <f>G41</f>
        <v>0</v>
      </c>
      <c r="U41" s="3767"/>
      <c r="V41" s="3767">
        <f>I41</f>
        <v>0</v>
      </c>
      <c r="W41" s="3767"/>
      <c r="X41" s="1559"/>
      <c r="Y41" s="1581"/>
      <c r="Z41" s="1559"/>
      <c r="AA41" s="1559"/>
      <c r="AB41" s="1559"/>
      <c r="AC41" s="1559"/>
    </row>
    <row r="42" spans="1:29" ht="15.75" thickBot="1">
      <c r="A42" s="615" t="s">
        <v>2767</v>
      </c>
      <c r="B42" s="888"/>
      <c r="C42" s="2658" t="e">
        <f>R43</f>
        <v>#DIV/0!</v>
      </c>
      <c r="D42" s="2659"/>
      <c r="E42" s="2660" t="e">
        <f>R42</f>
        <v>#DIV/0!</v>
      </c>
      <c r="F42" s="2660"/>
      <c r="G42" s="2658" t="e">
        <f>T42</f>
        <v>#DIV/0!</v>
      </c>
      <c r="H42" s="2659"/>
      <c r="I42" s="2660" t="e">
        <f>V42</f>
        <v>#DIV/0!</v>
      </c>
      <c r="J42" s="2659"/>
      <c r="K42" s="1612"/>
      <c r="L42" s="2145"/>
      <c r="M42" s="2146"/>
      <c r="N42" s="2135"/>
      <c r="O42" s="2146"/>
      <c r="P42" s="3654" t="str">
        <f>A42</f>
        <v>比较价格（元/平方米）</v>
      </c>
      <c r="Q42" s="3654"/>
      <c r="R42" s="3767" t="e">
        <f>IF(F1="售价",ROUND(PRODUCT(R41,AA7:AA40),0),ROUND(PRODUCT(R41,AA7:AA40),1))</f>
        <v>#DIV/0!</v>
      </c>
      <c r="S42" s="3767"/>
      <c r="T42" s="3767" t="e">
        <f>IF(F1="售价",ROUND(PRODUCT(T41,AB7:AB40),0),ROUND(PRODUCT(T41,AB7:AB40),1))</f>
        <v>#DIV/0!</v>
      </c>
      <c r="U42" s="3767"/>
      <c r="V42" s="3767" t="e">
        <f>IF(F1="售价",ROUND(PRODUCT(V41,AC7:AC40),0),ROUND(PRODUCT(V41,AC7:AC40),1))</f>
        <v>#DIV/0!</v>
      </c>
      <c r="W42" s="3767"/>
      <c r="X42" s="1559"/>
      <c r="Y42" s="1559"/>
      <c r="Z42" s="1559"/>
      <c r="AA42" s="1559"/>
      <c r="AB42" s="1559"/>
      <c r="AC42" s="1559"/>
    </row>
    <row r="43" spans="1:29" ht="15.75" thickBot="1">
      <c r="A43" s="621" t="s">
        <v>2944</v>
      </c>
      <c r="B43" s="622"/>
      <c r="C43" s="2661" t="e">
        <f>R43</f>
        <v>#DIV/0!</v>
      </c>
      <c r="D43" s="2661"/>
      <c r="E43" s="2661"/>
      <c r="F43" s="2661"/>
      <c r="G43" s="2661"/>
      <c r="H43" s="2661"/>
      <c r="I43" s="2661"/>
      <c r="J43" s="2661"/>
      <c r="K43" s="1613"/>
      <c r="L43" s="2145"/>
      <c r="M43" s="2146"/>
      <c r="N43" s="2146"/>
      <c r="O43" s="2146"/>
      <c r="P43" s="3651" t="str">
        <f>A43</f>
        <v>估价对象XX用房的比较价格（楼面单价，元/平方米）</v>
      </c>
      <c r="Q43" s="3652"/>
      <c r="R43" s="3766" t="e">
        <f>IF(F1="售价",ROUND(AVERAGE(R42:V42),0),ROUND(AVERAGE(R42:V42),1))</f>
        <v>#DIV/0!</v>
      </c>
      <c r="S43" s="3766"/>
      <c r="T43" s="3766"/>
      <c r="U43" s="3766"/>
      <c r="V43" s="3766"/>
      <c r="W43" s="3766"/>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530</v>
      </c>
      <c r="B52" s="646"/>
      <c r="C52" s="2828" t="str">
        <f>YEAR(C7)&amp;"-"&amp;MONTH(C7)</f>
        <v>2018-3</v>
      </c>
      <c r="D52" s="2830">
        <f>EDATE(C52,-1)</f>
        <v>43132</v>
      </c>
      <c r="E52" s="2830">
        <f t="shared" ref="E52:O52" si="16">EDATE(D52,-1)</f>
        <v>43101</v>
      </c>
      <c r="F52" s="2830">
        <f t="shared" si="16"/>
        <v>43070</v>
      </c>
      <c r="G52" s="2830">
        <f t="shared" si="16"/>
        <v>43040</v>
      </c>
      <c r="H52" s="2830">
        <f t="shared" si="16"/>
        <v>43009</v>
      </c>
      <c r="I52" s="2830">
        <f t="shared" si="16"/>
        <v>42979</v>
      </c>
      <c r="J52" s="2830">
        <f t="shared" si="16"/>
        <v>42948</v>
      </c>
      <c r="K52" s="2830">
        <f t="shared" si="16"/>
        <v>42917</v>
      </c>
      <c r="L52" s="2830">
        <f t="shared" si="16"/>
        <v>42887</v>
      </c>
      <c r="M52" s="2830">
        <f t="shared" si="16"/>
        <v>42856</v>
      </c>
      <c r="N52" s="2830">
        <f t="shared" si="16"/>
        <v>42826</v>
      </c>
      <c r="O52" s="2830">
        <f t="shared" si="16"/>
        <v>42795</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2564</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2565</v>
      </c>
      <c r="C76" s="2623" t="s">
        <v>2566</v>
      </c>
      <c r="D76" s="2623" t="s">
        <v>2567</v>
      </c>
      <c r="E76" s="2623" t="s">
        <v>2568</v>
      </c>
      <c r="F76" s="2623" t="s">
        <v>2569</v>
      </c>
      <c r="G76" s="2623" t="s">
        <v>2570</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2563</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69347.5平方米。根据《建设工程规划许可证》[]、《出让合同》[]，估价对象规划建筑面积为505683.77平方米。</v>
      </c>
    </row>
    <row r="7" spans="1:4" ht="56.25">
      <c r="A7" s="1796" t="s">
        <v>2754</v>
      </c>
    </row>
    <row r="8" spans="1:4" ht="18.75">
      <c r="A8" s="1795" t="s">
        <v>1908</v>
      </c>
    </row>
    <row r="9" spans="1:4" ht="56.2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2018年3月8日（评估专业人员勘察现场之日）</v>
      </c>
    </row>
    <row r="12" spans="1:4" ht="18.75">
      <c r="A12" s="1798" t="s">
        <v>2029</v>
      </c>
    </row>
    <row r="13" spans="1:4" ht="18.75">
      <c r="A13" s="1792" t="s">
        <v>2952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根据《国有土地使用证》[]，估价对象（分摊）出让国有建设用地使用权面积为69347.5平方米。根据《建设工程规划许可证》[]、《出让合同》[]，估价对象规划建筑面积为505683.77平方米。</v>
      </c>
    </row>
    <row r="21" spans="1:1" ht="18.75">
      <c r="A21" s="1792" t="s">
        <v>2078</v>
      </c>
    </row>
    <row r="22" spans="1:1" ht="18.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2079</v>
      </c>
    </row>
    <row r="25" spans="1:1" ht="150">
      <c r="A25" s="1792" t="str">
        <f>定义!C53</f>
        <v>本次估价的“出让国有建设用地使用权价格”是指在估价对象土地所有权为国家所有，使用权性质为出让，在公开市场条件下、于估价期日2018年3月8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IF(B37="元/平方米",C39,ROUND(B2*10000/D3,0))</f>
        <v>#DIV/0!</v>
      </c>
      <c r="C3" s="852" t="s">
        <v>797</v>
      </c>
      <c r="D3" s="851">
        <f>SUMIF('数据-汇总表'!$C19:$C33,D1,'数据-汇总表'!$E19:$E33)</f>
        <v>0</v>
      </c>
      <c r="E3" s="1849" t="s">
        <v>2080</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660" t="s">
        <v>799</v>
      </c>
      <c r="D4" s="3661"/>
      <c r="E4" s="3660" t="s">
        <v>800</v>
      </c>
      <c r="F4" s="3661"/>
      <c r="G4" s="3660" t="s">
        <v>801</v>
      </c>
      <c r="H4" s="3661"/>
      <c r="I4" s="3660" t="s">
        <v>802</v>
      </c>
      <c r="J4" s="3661"/>
      <c r="K4" s="514" t="s">
        <v>803</v>
      </c>
      <c r="L4" s="2134"/>
      <c r="M4" s="2135"/>
      <c r="N4" s="2135"/>
      <c r="O4" s="2135"/>
      <c r="P4" s="3662" t="s">
        <v>804</v>
      </c>
      <c r="Q4" s="3663"/>
      <c r="R4" s="3668" t="s">
        <v>800</v>
      </c>
      <c r="S4" s="3669"/>
      <c r="T4" s="3668" t="s">
        <v>801</v>
      </c>
      <c r="U4" s="3669"/>
      <c r="V4" s="3655" t="s">
        <v>802</v>
      </c>
      <c r="W4" s="3655"/>
      <c r="X4" s="1567"/>
      <c r="Y4" s="3668" t="s">
        <v>804</v>
      </c>
      <c r="Z4" s="3669"/>
      <c r="AA4" s="3657" t="s">
        <v>800</v>
      </c>
      <c r="AB4" s="3658" t="s">
        <v>801</v>
      </c>
      <c r="AC4" s="3657" t="s">
        <v>802</v>
      </c>
    </row>
    <row r="5" spans="1:29" ht="15">
      <c r="A5" s="515"/>
      <c r="B5" s="516"/>
      <c r="C5" s="3676" t="s">
        <v>2938</v>
      </c>
      <c r="D5" s="3677"/>
      <c r="E5" s="3676" t="s">
        <v>2939</v>
      </c>
      <c r="F5" s="3677"/>
      <c r="G5" s="3676" t="s">
        <v>2940</v>
      </c>
      <c r="H5" s="3677"/>
      <c r="I5" s="3676" t="s">
        <v>2941</v>
      </c>
      <c r="J5" s="3677"/>
      <c r="K5" s="514"/>
      <c r="L5" s="2134"/>
      <c r="M5" s="2135"/>
      <c r="N5" s="2135"/>
      <c r="O5" s="2135"/>
      <c r="P5" s="3664"/>
      <c r="Q5" s="3665"/>
      <c r="R5" s="3670"/>
      <c r="S5" s="3671"/>
      <c r="T5" s="3670"/>
      <c r="U5" s="3671"/>
      <c r="V5" s="3655"/>
      <c r="W5" s="3655"/>
      <c r="X5" s="1567"/>
      <c r="Y5" s="3670"/>
      <c r="Z5" s="3671"/>
      <c r="AA5" s="3658"/>
      <c r="AB5" s="3658"/>
      <c r="AC5" s="3658"/>
    </row>
    <row r="6" spans="1:29" ht="15.75" thickBot="1">
      <c r="A6" s="517"/>
      <c r="B6" s="518"/>
      <c r="C6" s="3674" t="s">
        <v>2942</v>
      </c>
      <c r="D6" s="3675"/>
      <c r="E6" s="3678" t="s">
        <v>2942</v>
      </c>
      <c r="F6" s="3679"/>
      <c r="G6" s="3674" t="s">
        <v>2942</v>
      </c>
      <c r="H6" s="3675"/>
      <c r="I6" s="3674" t="s">
        <v>2942</v>
      </c>
      <c r="J6" s="3675"/>
      <c r="K6" s="514" t="s">
        <v>529</v>
      </c>
      <c r="L6" s="2134"/>
      <c r="M6" s="2135"/>
      <c r="N6" s="2135"/>
      <c r="O6" s="2135"/>
      <c r="P6" s="3666"/>
      <c r="Q6" s="3667"/>
      <c r="R6" s="3670"/>
      <c r="S6" s="3671"/>
      <c r="T6" s="3672"/>
      <c r="U6" s="3673"/>
      <c r="V6" s="3655"/>
      <c r="W6" s="3655"/>
      <c r="X6" s="1567"/>
      <c r="Y6" s="3672"/>
      <c r="Z6" s="3673"/>
      <c r="AA6" s="3659"/>
      <c r="AB6" s="3659"/>
      <c r="AC6" s="3659"/>
    </row>
    <row r="7" spans="1:29" s="1220" customFormat="1" ht="15.75" thickBot="1">
      <c r="A7" s="2938"/>
      <c r="B7" s="2945" t="s">
        <v>530</v>
      </c>
      <c r="C7" s="519">
        <f>'数据-取费表'!B2</f>
        <v>43167</v>
      </c>
      <c r="D7" s="520">
        <v>100</v>
      </c>
      <c r="E7" s="521"/>
      <c r="F7" s="522">
        <f>SUMIF(48:48,YEAR(E7)&amp;"-"&amp;MONTH(E7),49:49)</f>
        <v>0</v>
      </c>
      <c r="G7" s="523"/>
      <c r="H7" s="520">
        <f>SUMIF(48:48,YEAR(G7)&amp;"-"&amp;MONTH(G7),49:49)</f>
        <v>0</v>
      </c>
      <c r="I7" s="523"/>
      <c r="J7" s="520">
        <f>SUMIF(48:48,YEAR(I7)&amp;"-"&amp;MONTH(I7),49:49)</f>
        <v>0</v>
      </c>
      <c r="K7" s="524"/>
      <c r="L7" s="2136"/>
      <c r="M7" s="2137"/>
      <c r="N7" s="2137"/>
      <c r="O7" s="2137"/>
      <c r="P7" s="3685" t="s">
        <v>531</v>
      </c>
      <c r="Q7" s="3687"/>
      <c r="R7" s="1568" t="s">
        <v>8</v>
      </c>
      <c r="S7" s="1569">
        <f t="shared" ref="S7:S14" si="0">F7</f>
        <v>0</v>
      </c>
      <c r="T7" s="1568" t="s">
        <v>8</v>
      </c>
      <c r="U7" s="1569">
        <f t="shared" ref="U7:U14" si="1">H7</f>
        <v>0</v>
      </c>
      <c r="V7" s="1568" t="s">
        <v>8</v>
      </c>
      <c r="W7" s="1569">
        <f t="shared" ref="W7:W14" si="2">J7</f>
        <v>0</v>
      </c>
      <c r="X7" s="1570"/>
      <c r="Y7" s="3685" t="s">
        <v>531</v>
      </c>
      <c r="Z7" s="3686"/>
      <c r="AA7" s="1571" t="e">
        <f>D7/F7</f>
        <v>#DIV/0!</v>
      </c>
      <c r="AB7" s="1571" t="e">
        <f>D7/H7</f>
        <v>#DIV/0!</v>
      </c>
      <c r="AC7" s="1571" t="e">
        <f>D7/J7</f>
        <v>#DIV/0!</v>
      </c>
    </row>
    <row r="8" spans="1:29" s="1220"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685" t="s">
        <v>534</v>
      </c>
      <c r="Q8" s="3686"/>
      <c r="R8" s="1568" t="s">
        <v>8</v>
      </c>
      <c r="S8" s="1569">
        <f t="shared" si="0"/>
        <v>0</v>
      </c>
      <c r="T8" s="1568" t="s">
        <v>8</v>
      </c>
      <c r="U8" s="1569">
        <f t="shared" si="1"/>
        <v>0</v>
      </c>
      <c r="V8" s="1568" t="s">
        <v>8</v>
      </c>
      <c r="W8" s="1569">
        <f t="shared" si="2"/>
        <v>0</v>
      </c>
      <c r="X8" s="1570"/>
      <c r="Y8" s="3685" t="s">
        <v>534</v>
      </c>
      <c r="Z8" s="3686"/>
      <c r="AA8" s="1571" t="e">
        <f t="shared" ref="AA8:AA36" si="3">D8/F8</f>
        <v>#DIV/0!</v>
      </c>
      <c r="AB8" s="1571" t="e">
        <f t="shared" ref="AB8:AB36" si="4">D8/H8</f>
        <v>#DIV/0!</v>
      </c>
      <c r="AC8" s="1571" t="e">
        <f t="shared" ref="AC8:AC36" si="5">D8/J8</f>
        <v>#DIV/0!</v>
      </c>
    </row>
    <row r="9" spans="1:29" s="1220" customFormat="1" ht="15">
      <c r="A9" s="2940"/>
      <c r="B9" s="2947" t="s">
        <v>2763</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654" t="s">
        <v>536</v>
      </c>
      <c r="Q9" s="1151" t="str">
        <f t="shared" ref="Q9:Q14" si="6">B9</f>
        <v>用途</v>
      </c>
      <c r="R9" s="1568" t="s">
        <v>8</v>
      </c>
      <c r="S9" s="1569">
        <f t="shared" si="0"/>
        <v>100</v>
      </c>
      <c r="T9" s="1568" t="s">
        <v>8</v>
      </c>
      <c r="U9" s="1569">
        <f t="shared" si="1"/>
        <v>100</v>
      </c>
      <c r="V9" s="1568" t="s">
        <v>8</v>
      </c>
      <c r="W9" s="1569">
        <f t="shared" si="2"/>
        <v>100</v>
      </c>
      <c r="X9" s="1570"/>
      <c r="Y9" s="3600" t="s">
        <v>537</v>
      </c>
      <c r="Z9" s="1150" t="str">
        <f t="shared" ref="Z9:Z14" si="7">Q9</f>
        <v>用途</v>
      </c>
      <c r="AA9" s="1571">
        <f t="shared" si="3"/>
        <v>1</v>
      </c>
      <c r="AB9" s="1571">
        <f t="shared" si="4"/>
        <v>1</v>
      </c>
      <c r="AC9" s="1571">
        <f t="shared" si="5"/>
        <v>1</v>
      </c>
    </row>
    <row r="10" spans="1:29" s="1338" customFormat="1" ht="27">
      <c r="A10" s="2941"/>
      <c r="B10" s="2946" t="s">
        <v>2764</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654"/>
      <c r="Q10" s="1151" t="str">
        <f t="shared" si="6"/>
        <v>土地使用年限（年）</v>
      </c>
      <c r="R10" s="1568" t="s">
        <v>8</v>
      </c>
      <c r="S10" s="1569">
        <f t="shared" si="0"/>
        <v>100</v>
      </c>
      <c r="T10" s="1568" t="s">
        <v>8</v>
      </c>
      <c r="U10" s="1569">
        <f t="shared" si="1"/>
        <v>100</v>
      </c>
      <c r="V10" s="1568" t="s">
        <v>8</v>
      </c>
      <c r="W10" s="1569">
        <f t="shared" si="2"/>
        <v>100</v>
      </c>
      <c r="X10" s="1570"/>
      <c r="Y10" s="3600"/>
      <c r="Z10" s="1150" t="str">
        <f t="shared" si="7"/>
        <v>土地使用年限（年）</v>
      </c>
      <c r="AA10" s="1571">
        <f t="shared" si="3"/>
        <v>1</v>
      </c>
      <c r="AB10" s="1571">
        <f t="shared" si="4"/>
        <v>1</v>
      </c>
      <c r="AC10" s="1571">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654"/>
      <c r="Q11" s="1151">
        <f t="shared" si="6"/>
        <v>111</v>
      </c>
      <c r="R11" s="1568" t="s">
        <v>8</v>
      </c>
      <c r="S11" s="1569">
        <f t="shared" si="0"/>
        <v>100</v>
      </c>
      <c r="T11" s="1568" t="s">
        <v>8</v>
      </c>
      <c r="U11" s="1569">
        <f t="shared" si="1"/>
        <v>100</v>
      </c>
      <c r="V11" s="1568" t="s">
        <v>8</v>
      </c>
      <c r="W11" s="1569">
        <f t="shared" si="2"/>
        <v>100</v>
      </c>
      <c r="X11" s="1570"/>
      <c r="Y11" s="3600"/>
      <c r="Z11" s="1150">
        <f t="shared" si="7"/>
        <v>111</v>
      </c>
      <c r="AA11" s="1571">
        <f t="shared" si="3"/>
        <v>1</v>
      </c>
      <c r="AB11" s="1571">
        <f t="shared" si="4"/>
        <v>1</v>
      </c>
      <c r="AC11" s="1571">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654"/>
      <c r="Q12" s="1151">
        <f t="shared" si="6"/>
        <v>111</v>
      </c>
      <c r="R12" s="1568" t="s">
        <v>8</v>
      </c>
      <c r="S12" s="1569">
        <f t="shared" si="0"/>
        <v>100</v>
      </c>
      <c r="T12" s="1568" t="s">
        <v>8</v>
      </c>
      <c r="U12" s="1569">
        <f t="shared" si="1"/>
        <v>100</v>
      </c>
      <c r="V12" s="1568" t="s">
        <v>8</v>
      </c>
      <c r="W12" s="1569">
        <f t="shared" si="2"/>
        <v>100</v>
      </c>
      <c r="X12" s="1570"/>
      <c r="Y12" s="3600"/>
      <c r="Z12" s="1150">
        <f t="shared" si="7"/>
        <v>111</v>
      </c>
      <c r="AA12" s="1571">
        <f>D12/F12</f>
        <v>1</v>
      </c>
      <c r="AB12" s="1571">
        <f>D12/H12</f>
        <v>1</v>
      </c>
      <c r="AC12" s="1571">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654"/>
      <c r="Q13" s="1151">
        <f t="shared" si="6"/>
        <v>111</v>
      </c>
      <c r="R13" s="1568" t="s">
        <v>8</v>
      </c>
      <c r="S13" s="1569">
        <f t="shared" si="0"/>
        <v>100</v>
      </c>
      <c r="T13" s="1568" t="s">
        <v>8</v>
      </c>
      <c r="U13" s="1569">
        <f t="shared" si="1"/>
        <v>100</v>
      </c>
      <c r="V13" s="1568" t="s">
        <v>8</v>
      </c>
      <c r="W13" s="1569">
        <f t="shared" si="2"/>
        <v>100</v>
      </c>
      <c r="X13" s="1570"/>
      <c r="Y13" s="3600"/>
      <c r="Z13" s="1150">
        <f t="shared" si="7"/>
        <v>111</v>
      </c>
      <c r="AA13" s="1571">
        <f t="shared" si="3"/>
        <v>1</v>
      </c>
      <c r="AB13" s="1571">
        <f t="shared" si="4"/>
        <v>1</v>
      </c>
      <c r="AC13" s="1571">
        <f t="shared" si="5"/>
        <v>1</v>
      </c>
    </row>
    <row r="14" spans="1:29" ht="85.5">
      <c r="A14" s="2936" t="s">
        <v>2761</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688" t="s">
        <v>541</v>
      </c>
      <c r="Q14" s="1572" t="str">
        <f t="shared" si="6"/>
        <v>交通便捷度</v>
      </c>
      <c r="R14" s="1573" t="s">
        <v>8</v>
      </c>
      <c r="S14" s="1574">
        <f t="shared" si="0"/>
        <v>100</v>
      </c>
      <c r="T14" s="1573" t="s">
        <v>8</v>
      </c>
      <c r="U14" s="1574">
        <f t="shared" si="1"/>
        <v>100</v>
      </c>
      <c r="V14" s="1573" t="s">
        <v>8</v>
      </c>
      <c r="W14" s="1574">
        <f t="shared" si="2"/>
        <v>100</v>
      </c>
      <c r="X14" s="1567"/>
      <c r="Y14" s="3688" t="s">
        <v>541</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689"/>
      <c r="Q15" s="1572"/>
      <c r="R15" s="1573"/>
      <c r="S15" s="1574"/>
      <c r="T15" s="1573"/>
      <c r="U15" s="1574"/>
      <c r="V15" s="1573"/>
      <c r="W15" s="1574"/>
      <c r="X15" s="1567"/>
      <c r="Y15" s="3689"/>
      <c r="Z15" s="1575"/>
      <c r="AA15" s="1576">
        <v>1</v>
      </c>
      <c r="AB15" s="1576">
        <v>1</v>
      </c>
      <c r="AC15" s="1576">
        <v>1</v>
      </c>
    </row>
    <row r="16" spans="1:29" ht="42.75">
      <c r="A16" s="515"/>
      <c r="B16" s="2628" t="s">
        <v>2553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689"/>
      <c r="Q16" s="1572" t="str">
        <f>B16</f>
        <v>公共配套设施</v>
      </c>
      <c r="R16" s="1573" t="s">
        <v>8</v>
      </c>
      <c r="S16" s="1574">
        <f>F16</f>
        <v>100</v>
      </c>
      <c r="T16" s="1573" t="s">
        <v>8</v>
      </c>
      <c r="U16" s="1574">
        <f>H16</f>
        <v>100</v>
      </c>
      <c r="V16" s="1573" t="s">
        <v>8</v>
      </c>
      <c r="W16" s="1574">
        <f>J16</f>
        <v>100</v>
      </c>
      <c r="X16" s="1567"/>
      <c r="Y16" s="3689"/>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689"/>
      <c r="Q17" s="1572"/>
      <c r="R17" s="1573"/>
      <c r="S17" s="1574"/>
      <c r="T17" s="1573"/>
      <c r="U17" s="1574"/>
      <c r="V17" s="1573"/>
      <c r="W17" s="1574"/>
      <c r="X17" s="1567"/>
      <c r="Y17" s="3689"/>
      <c r="Z17" s="1575"/>
      <c r="AA17" s="1576">
        <v>1</v>
      </c>
      <c r="AB17" s="1576">
        <v>1</v>
      </c>
      <c r="AC17" s="1576">
        <v>1</v>
      </c>
    </row>
    <row r="18" spans="1:29" ht="28.5">
      <c r="A18" s="515"/>
      <c r="B18" s="2616" t="s">
        <v>2565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689"/>
      <c r="Q18" s="2604" t="str">
        <f>B18</f>
        <v>基础设施水平</v>
      </c>
      <c r="R18" s="1573" t="s">
        <v>8</v>
      </c>
      <c r="S18" s="1574">
        <f>F18</f>
        <v>100</v>
      </c>
      <c r="T18" s="1573" t="s">
        <v>8</v>
      </c>
      <c r="U18" s="1574">
        <f>H18</f>
        <v>100</v>
      </c>
      <c r="V18" s="1573" t="s">
        <v>8</v>
      </c>
      <c r="W18" s="1574">
        <f>J18</f>
        <v>100</v>
      </c>
      <c r="X18" s="2606"/>
      <c r="Y18" s="3689"/>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689"/>
      <c r="Q19" s="2604"/>
      <c r="R19" s="1573"/>
      <c r="S19" s="1574"/>
      <c r="T19" s="1573"/>
      <c r="U19" s="1574"/>
      <c r="V19" s="1573"/>
      <c r="W19" s="1574"/>
      <c r="X19" s="2606"/>
      <c r="Y19" s="3689"/>
      <c r="Z19" s="2605"/>
      <c r="AA19" s="1576">
        <v>1</v>
      </c>
      <c r="AB19" s="1576">
        <v>1</v>
      </c>
      <c r="AC19" s="1576">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689"/>
      <c r="Q20" s="1572" t="str">
        <f>B20</f>
        <v>自然及人文环境</v>
      </c>
      <c r="R20" s="1573" t="s">
        <v>8</v>
      </c>
      <c r="S20" s="1574">
        <f>F20</f>
        <v>100</v>
      </c>
      <c r="T20" s="1573" t="s">
        <v>8</v>
      </c>
      <c r="U20" s="1574">
        <f>H20</f>
        <v>100</v>
      </c>
      <c r="V20" s="1573" t="s">
        <v>8</v>
      </c>
      <c r="W20" s="1574">
        <f>J20</f>
        <v>100</v>
      </c>
      <c r="X20" s="1567"/>
      <c r="Y20" s="3689"/>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689"/>
      <c r="Q21" s="1572"/>
      <c r="R21" s="1573"/>
      <c r="S21" s="1574"/>
      <c r="T21" s="1573"/>
      <c r="U21" s="1574"/>
      <c r="V21" s="1573"/>
      <c r="W21" s="1574"/>
      <c r="X21" s="1567"/>
      <c r="Y21" s="3689"/>
      <c r="Z21" s="1575"/>
      <c r="AA21" s="1576">
        <v>1</v>
      </c>
      <c r="AB21" s="1576">
        <v>1</v>
      </c>
      <c r="AC21" s="1576">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689"/>
      <c r="Q22" s="1572" t="str">
        <f>B22</f>
        <v>楼层</v>
      </c>
      <c r="R22" s="1573" t="s">
        <v>8</v>
      </c>
      <c r="S22" s="1574">
        <f>F22</f>
        <v>100</v>
      </c>
      <c r="T22" s="1573" t="s">
        <v>8</v>
      </c>
      <c r="U22" s="1574">
        <f>H22</f>
        <v>100</v>
      </c>
      <c r="V22" s="1573" t="s">
        <v>8</v>
      </c>
      <c r="W22" s="1574">
        <f>J22</f>
        <v>100</v>
      </c>
      <c r="X22" s="1567"/>
      <c r="Y22" s="3689"/>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689"/>
      <c r="Q23" s="1572">
        <f>B23</f>
        <v>111</v>
      </c>
      <c r="R23" s="1573" t="s">
        <v>8</v>
      </c>
      <c r="S23" s="1574">
        <f>F23</f>
        <v>100</v>
      </c>
      <c r="T23" s="1573" t="s">
        <v>8</v>
      </c>
      <c r="U23" s="1574">
        <f>H23</f>
        <v>100</v>
      </c>
      <c r="V23" s="1573" t="s">
        <v>8</v>
      </c>
      <c r="W23" s="1574">
        <f>J23</f>
        <v>100</v>
      </c>
      <c r="X23" s="1567"/>
      <c r="Y23" s="3689"/>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689"/>
      <c r="Q24" s="1572">
        <f t="shared" ref="Q24:Q36" si="11">B24</f>
        <v>111</v>
      </c>
      <c r="R24" s="1573" t="s">
        <v>8</v>
      </c>
      <c r="S24" s="1574">
        <f>F24</f>
        <v>100</v>
      </c>
      <c r="T24" s="1573" t="s">
        <v>8</v>
      </c>
      <c r="U24" s="1574">
        <f>H24</f>
        <v>100</v>
      </c>
      <c r="V24" s="1573" t="s">
        <v>8</v>
      </c>
      <c r="W24" s="1574">
        <f>J24</f>
        <v>100</v>
      </c>
      <c r="X24" s="1567"/>
      <c r="Y24" s="3689"/>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689"/>
      <c r="Q25" s="1151">
        <f t="shared" si="11"/>
        <v>111</v>
      </c>
      <c r="R25" s="1568" t="s">
        <v>8</v>
      </c>
      <c r="S25" s="1569">
        <f>F25</f>
        <v>100</v>
      </c>
      <c r="T25" s="1568" t="s">
        <v>8</v>
      </c>
      <c r="U25" s="1569">
        <f>H25</f>
        <v>100</v>
      </c>
      <c r="V25" s="1568" t="s">
        <v>8</v>
      </c>
      <c r="W25" s="1569">
        <f>J25</f>
        <v>100</v>
      </c>
      <c r="X25" s="1570"/>
      <c r="Y25" s="3689"/>
      <c r="Z25" s="1150">
        <f>Q25</f>
        <v>111</v>
      </c>
      <c r="AA25" s="1576">
        <f>D25/F25</f>
        <v>1</v>
      </c>
      <c r="AB25" s="1576">
        <f>D25/H25</f>
        <v>1</v>
      </c>
      <c r="AC25" s="1576">
        <f>D25/J25</f>
        <v>1</v>
      </c>
    </row>
    <row r="26" spans="1:29" ht="15">
      <c r="A26" s="2933" t="s">
        <v>2762</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690"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691" t="s">
        <v>551</v>
      </c>
      <c r="Z26" s="1575" t="str">
        <f t="shared" ref="Z26:Z36" si="15">Q26</f>
        <v>配套类型</v>
      </c>
      <c r="AA26" s="1576">
        <f t="shared" si="3"/>
        <v>1</v>
      </c>
      <c r="AB26" s="1576">
        <f t="shared" si="4"/>
        <v>1</v>
      </c>
      <c r="AC26" s="1576">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691"/>
      <c r="Q27" s="1605" t="str">
        <f t="shared" si="11"/>
        <v>项目停车位配比</v>
      </c>
      <c r="R27" s="1577" t="s">
        <v>8</v>
      </c>
      <c r="S27" s="1578">
        <f t="shared" si="12"/>
        <v>100</v>
      </c>
      <c r="T27" s="1577" t="s">
        <v>8</v>
      </c>
      <c r="U27" s="1578">
        <f t="shared" si="13"/>
        <v>100</v>
      </c>
      <c r="V27" s="1577" t="s">
        <v>8</v>
      </c>
      <c r="W27" s="1578">
        <f t="shared" si="14"/>
        <v>100</v>
      </c>
      <c r="X27" s="1579"/>
      <c r="Y27" s="3691"/>
      <c r="Z27" s="1580" t="str">
        <f t="shared" si="15"/>
        <v>项目停车位配比</v>
      </c>
      <c r="AA27" s="1576">
        <f t="shared" si="3"/>
        <v>1</v>
      </c>
      <c r="AB27" s="1576">
        <f t="shared" si="4"/>
        <v>1</v>
      </c>
      <c r="AC27" s="1576">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691"/>
      <c r="Q28" s="1572" t="str">
        <f t="shared" si="11"/>
        <v>公共部分装修</v>
      </c>
      <c r="R28" s="1573" t="s">
        <v>8</v>
      </c>
      <c r="S28" s="1574">
        <f t="shared" si="12"/>
        <v>100</v>
      </c>
      <c r="T28" s="1573" t="s">
        <v>8</v>
      </c>
      <c r="U28" s="1574">
        <f t="shared" si="13"/>
        <v>100</v>
      </c>
      <c r="V28" s="1573" t="s">
        <v>8</v>
      </c>
      <c r="W28" s="1574">
        <f t="shared" si="14"/>
        <v>100</v>
      </c>
      <c r="X28" s="1567"/>
      <c r="Y28" s="3691"/>
      <c r="Z28" s="1575" t="str">
        <f t="shared" si="15"/>
        <v>公共部分装修</v>
      </c>
      <c r="AA28" s="1576">
        <f t="shared" si="3"/>
        <v>1</v>
      </c>
      <c r="AB28" s="1576">
        <f t="shared" si="4"/>
        <v>1</v>
      </c>
      <c r="AC28" s="1576">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691"/>
      <c r="Q29" s="1572" t="str">
        <f t="shared" si="11"/>
        <v>成新率</v>
      </c>
      <c r="R29" s="1573" t="s">
        <v>8</v>
      </c>
      <c r="S29" s="1574" t="e">
        <f t="shared" si="12"/>
        <v>#N/A</v>
      </c>
      <c r="T29" s="1573" t="s">
        <v>8</v>
      </c>
      <c r="U29" s="1574" t="e">
        <f t="shared" si="13"/>
        <v>#N/A</v>
      </c>
      <c r="V29" s="1573" t="s">
        <v>8</v>
      </c>
      <c r="W29" s="1574" t="e">
        <f t="shared" si="14"/>
        <v>#N/A</v>
      </c>
      <c r="X29" s="1567"/>
      <c r="Y29" s="3691"/>
      <c r="Z29" s="1575" t="str">
        <f t="shared" si="15"/>
        <v>成新率</v>
      </c>
      <c r="AA29" s="1576" t="e">
        <f t="shared" si="3"/>
        <v>#N/A</v>
      </c>
      <c r="AB29" s="1576" t="e">
        <f t="shared" si="4"/>
        <v>#N/A</v>
      </c>
      <c r="AC29" s="1576"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691"/>
      <c r="Q30" s="1572" t="str">
        <f t="shared" si="11"/>
        <v>物业等级</v>
      </c>
      <c r="R30" s="1573" t="s">
        <v>8</v>
      </c>
      <c r="S30" s="1574">
        <f t="shared" si="12"/>
        <v>100</v>
      </c>
      <c r="T30" s="1573" t="s">
        <v>8</v>
      </c>
      <c r="U30" s="1574">
        <f t="shared" si="13"/>
        <v>100</v>
      </c>
      <c r="V30" s="1573" t="s">
        <v>8</v>
      </c>
      <c r="W30" s="1574">
        <f t="shared" si="14"/>
        <v>100</v>
      </c>
      <c r="X30" s="1567"/>
      <c r="Y30" s="3691"/>
      <c r="Z30" s="1575" t="str">
        <f t="shared" si="15"/>
        <v>物业等级</v>
      </c>
      <c r="AA30" s="1576">
        <f t="shared" si="3"/>
        <v>1</v>
      </c>
      <c r="AB30" s="1576">
        <f t="shared" si="4"/>
        <v>1</v>
      </c>
      <c r="AC30" s="1576">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691"/>
      <c r="Q31" s="1151" t="str">
        <f t="shared" si="11"/>
        <v>停车位面积</v>
      </c>
      <c r="R31" s="1568" t="s">
        <v>8</v>
      </c>
      <c r="S31" s="1569" t="e">
        <f t="shared" si="12"/>
        <v>#N/A</v>
      </c>
      <c r="T31" s="1568" t="s">
        <v>8</v>
      </c>
      <c r="U31" s="1569" t="e">
        <f t="shared" si="13"/>
        <v>#N/A</v>
      </c>
      <c r="V31" s="1568" t="s">
        <v>8</v>
      </c>
      <c r="W31" s="1569" t="e">
        <f t="shared" si="14"/>
        <v>#N/A</v>
      </c>
      <c r="X31" s="1570"/>
      <c r="Y31" s="3691"/>
      <c r="Z31" s="1150" t="str">
        <f t="shared" si="15"/>
        <v>停车位面积</v>
      </c>
      <c r="AA31" s="1571" t="e">
        <f t="shared" si="3"/>
        <v>#N/A</v>
      </c>
      <c r="AB31" s="1571" t="e">
        <f t="shared" si="4"/>
        <v>#N/A</v>
      </c>
      <c r="AC31" s="1571"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691" t="s">
        <v>551</v>
      </c>
      <c r="Q32" s="1572" t="str">
        <f t="shared" si="11"/>
        <v>车位类型</v>
      </c>
      <c r="R32" s="1573" t="s">
        <v>8</v>
      </c>
      <c r="S32" s="1574">
        <f t="shared" si="12"/>
        <v>100</v>
      </c>
      <c r="T32" s="1573" t="s">
        <v>8</v>
      </c>
      <c r="U32" s="1574">
        <f t="shared" si="13"/>
        <v>100</v>
      </c>
      <c r="V32" s="1573" t="s">
        <v>8</v>
      </c>
      <c r="W32" s="1574">
        <f t="shared" si="14"/>
        <v>100</v>
      </c>
      <c r="X32" s="1567"/>
      <c r="Y32" s="3691" t="s">
        <v>551</v>
      </c>
      <c r="Z32" s="1575" t="str">
        <f t="shared" si="15"/>
        <v>车位类型</v>
      </c>
      <c r="AA32" s="1576">
        <f t="shared" si="3"/>
        <v>1</v>
      </c>
      <c r="AB32" s="1576">
        <f t="shared" si="4"/>
        <v>1</v>
      </c>
      <c r="AC32" s="1576">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691"/>
      <c r="Q33" s="1572" t="str">
        <f t="shared" si="11"/>
        <v>是否直接入户</v>
      </c>
      <c r="R33" s="1573" t="s">
        <v>8</v>
      </c>
      <c r="S33" s="1574">
        <f t="shared" si="12"/>
        <v>100</v>
      </c>
      <c r="T33" s="1573" t="s">
        <v>8</v>
      </c>
      <c r="U33" s="1574">
        <f t="shared" si="13"/>
        <v>100</v>
      </c>
      <c r="V33" s="1573" t="s">
        <v>8</v>
      </c>
      <c r="W33" s="1574">
        <f t="shared" si="14"/>
        <v>100</v>
      </c>
      <c r="X33" s="1567"/>
      <c r="Y33" s="3691"/>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691"/>
      <c r="Q34" s="1572">
        <f t="shared" si="11"/>
        <v>111</v>
      </c>
      <c r="R34" s="1573" t="s">
        <v>8</v>
      </c>
      <c r="S34" s="1574">
        <f t="shared" si="12"/>
        <v>100</v>
      </c>
      <c r="T34" s="1573" t="s">
        <v>8</v>
      </c>
      <c r="U34" s="1574">
        <f t="shared" si="13"/>
        <v>100</v>
      </c>
      <c r="V34" s="1573" t="s">
        <v>8</v>
      </c>
      <c r="W34" s="1574">
        <f t="shared" si="14"/>
        <v>100</v>
      </c>
      <c r="X34" s="1567"/>
      <c r="Y34" s="3691"/>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691"/>
      <c r="Q35" s="1605">
        <f t="shared" si="11"/>
        <v>111</v>
      </c>
      <c r="R35" s="1577" t="s">
        <v>8</v>
      </c>
      <c r="S35" s="1578">
        <f t="shared" si="12"/>
        <v>100</v>
      </c>
      <c r="T35" s="1577" t="s">
        <v>8</v>
      </c>
      <c r="U35" s="1578">
        <f t="shared" si="13"/>
        <v>100</v>
      </c>
      <c r="V35" s="1577" t="s">
        <v>8</v>
      </c>
      <c r="W35" s="1578">
        <f t="shared" si="14"/>
        <v>100</v>
      </c>
      <c r="X35" s="1579"/>
      <c r="Y35" s="3691"/>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691"/>
      <c r="Q36" s="1572">
        <f t="shared" si="11"/>
        <v>111</v>
      </c>
      <c r="R36" s="1573" t="s">
        <v>8</v>
      </c>
      <c r="S36" s="1574">
        <f t="shared" si="12"/>
        <v>100</v>
      </c>
      <c r="T36" s="1573" t="s">
        <v>8</v>
      </c>
      <c r="U36" s="1574">
        <f t="shared" si="13"/>
        <v>100</v>
      </c>
      <c r="V36" s="1573" t="s">
        <v>8</v>
      </c>
      <c r="W36" s="1574">
        <f t="shared" si="14"/>
        <v>100</v>
      </c>
      <c r="X36" s="1567"/>
      <c r="Y36" s="3691"/>
      <c r="Z36" s="1575">
        <f t="shared" si="15"/>
        <v>111</v>
      </c>
      <c r="AA36" s="1576">
        <f t="shared" si="3"/>
        <v>1</v>
      </c>
      <c r="AB36" s="1576">
        <f t="shared" si="4"/>
        <v>1</v>
      </c>
      <c r="AC36" s="1576">
        <f t="shared" si="5"/>
        <v>1</v>
      </c>
    </row>
    <row r="37" spans="1:29" ht="15">
      <c r="A37" s="1847" t="s">
        <v>2081</v>
      </c>
      <c r="B37" s="1848" t="s">
        <v>2082</v>
      </c>
      <c r="C37" s="2652" t="s">
        <v>1</v>
      </c>
      <c r="D37" s="2653"/>
      <c r="E37" s="2654"/>
      <c r="F37" s="2655"/>
      <c r="G37" s="2656"/>
      <c r="H37" s="2657"/>
      <c r="I37" s="2654"/>
      <c r="J37" s="2657"/>
      <c r="K37" s="1611"/>
      <c r="L37" s="2145"/>
      <c r="M37" s="2146"/>
      <c r="N37" s="2135"/>
      <c r="O37" s="2146"/>
      <c r="P37" s="3654" t="str">
        <f>A37</f>
        <v>成交单价</v>
      </c>
      <c r="Q37" s="3654"/>
      <c r="R37" s="3767">
        <f>E37</f>
        <v>0</v>
      </c>
      <c r="S37" s="3767"/>
      <c r="T37" s="3767">
        <f>G37</f>
        <v>0</v>
      </c>
      <c r="U37" s="3767"/>
      <c r="V37" s="3767">
        <f>I37</f>
        <v>0</v>
      </c>
      <c r="W37" s="3767"/>
      <c r="X37" s="1559"/>
      <c r="Y37" s="1581"/>
      <c r="Z37" s="1559"/>
      <c r="AA37" s="1559"/>
      <c r="AB37" s="1559"/>
      <c r="AC37" s="1559"/>
    </row>
    <row r="38" spans="1:29" ht="15.75" thickBot="1">
      <c r="A38" s="615" t="s">
        <v>2767</v>
      </c>
      <c r="B38" s="888"/>
      <c r="C38" s="2658" t="e">
        <f>R39</f>
        <v>#DIV/0!</v>
      </c>
      <c r="D38" s="2659"/>
      <c r="E38" s="2660" t="e">
        <f>R38</f>
        <v>#DIV/0!</v>
      </c>
      <c r="F38" s="2660"/>
      <c r="G38" s="2658" t="e">
        <f>T38</f>
        <v>#DIV/0!</v>
      </c>
      <c r="H38" s="2659"/>
      <c r="I38" s="2660" t="e">
        <f>V38</f>
        <v>#DIV/0!</v>
      </c>
      <c r="J38" s="2659"/>
      <c r="K38" s="1612"/>
      <c r="L38" s="2145"/>
      <c r="M38" s="2146"/>
      <c r="N38" s="2146"/>
      <c r="O38" s="2146"/>
      <c r="P38" s="3654" t="str">
        <f>A38</f>
        <v>比较价格（元/平方米）</v>
      </c>
      <c r="Q38" s="3654"/>
      <c r="R38" s="3767" t="e">
        <f>IF(F1="售价",ROUND(PRODUCT(R37,AA7:AA36),0),ROUND(PRODUCT(R37,AA7:AA36),1))</f>
        <v>#DIV/0!</v>
      </c>
      <c r="S38" s="3767"/>
      <c r="T38" s="3767" t="e">
        <f>IF(F1="售价",ROUND(PRODUCT(T37,AB7:AB36),0),ROUND(PRODUCT(T37,AB7:AB36),1))</f>
        <v>#DIV/0!</v>
      </c>
      <c r="U38" s="3767"/>
      <c r="V38" s="3767" t="e">
        <f>IF(F1="售价",ROUND(PRODUCT(V37,AC7:AC36),0),ROUND(PRODUCT(V37,AC7:AC36),1))</f>
        <v>#DIV/0!</v>
      </c>
      <c r="W38" s="3767"/>
      <c r="X38" s="1559"/>
      <c r="Y38" s="1559"/>
      <c r="Z38" s="1559"/>
      <c r="AA38" s="1559"/>
      <c r="AB38" s="1559"/>
      <c r="AC38" s="1559"/>
    </row>
    <row r="39" spans="1:29" ht="15.75" thickBot="1">
      <c r="A39" s="621" t="s">
        <v>2944</v>
      </c>
      <c r="B39" s="622"/>
      <c r="C39" s="2661" t="e">
        <f>R39</f>
        <v>#DIV/0!</v>
      </c>
      <c r="D39" s="2661"/>
      <c r="E39" s="2661"/>
      <c r="F39" s="2661"/>
      <c r="G39" s="2661"/>
      <c r="H39" s="2661"/>
      <c r="I39" s="2661"/>
      <c r="J39" s="2661"/>
      <c r="K39" s="1613"/>
      <c r="L39" s="2145"/>
      <c r="M39" s="2146"/>
      <c r="N39" s="2146"/>
      <c r="O39" s="2146"/>
      <c r="P39" s="3651" t="str">
        <f>A39</f>
        <v>估价对象XX用房的比较价格（楼面单价，元/平方米）</v>
      </c>
      <c r="Q39" s="3652"/>
      <c r="R39" s="3766" t="e">
        <f>IF(F1="售价",ROUND(AVERAGE(R38:V38),0),ROUND(AVERAGE(R38:V38),1))</f>
        <v>#DIV/0!</v>
      </c>
      <c r="S39" s="3766"/>
      <c r="T39" s="3766"/>
      <c r="U39" s="3766"/>
      <c r="V39" s="3766"/>
      <c r="W39" s="3766"/>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530</v>
      </c>
      <c r="B48" s="646"/>
      <c r="C48" s="2828" t="str">
        <f>YEAR(C7)&amp;"-"&amp;MONTH(C7)</f>
        <v>2018-3</v>
      </c>
      <c r="D48" s="2830">
        <f>EDATE(C48,-1)</f>
        <v>43132</v>
      </c>
      <c r="E48" s="2830">
        <f t="shared" ref="E48:O48" si="16">EDATE(D48,-1)</f>
        <v>43101</v>
      </c>
      <c r="F48" s="2830">
        <f t="shared" si="16"/>
        <v>43070</v>
      </c>
      <c r="G48" s="2830">
        <f t="shared" si="16"/>
        <v>43040</v>
      </c>
      <c r="H48" s="2830">
        <f t="shared" si="16"/>
        <v>43009</v>
      </c>
      <c r="I48" s="2830">
        <f t="shared" si="16"/>
        <v>42979</v>
      </c>
      <c r="J48" s="2830">
        <f t="shared" si="16"/>
        <v>42948</v>
      </c>
      <c r="K48" s="2830">
        <f t="shared" si="16"/>
        <v>42917</v>
      </c>
      <c r="L48" s="2830">
        <f t="shared" si="16"/>
        <v>42887</v>
      </c>
      <c r="M48" s="2830">
        <f t="shared" si="16"/>
        <v>42856</v>
      </c>
      <c r="N48" s="2830">
        <f t="shared" si="16"/>
        <v>42826</v>
      </c>
      <c r="O48" s="2830">
        <f t="shared" si="16"/>
        <v>42795</v>
      </c>
      <c r="P48" s="2161"/>
      <c r="Q48" s="2162"/>
      <c r="R48" s="2162"/>
      <c r="S48" s="2162"/>
      <c r="T48" s="2162"/>
      <c r="U48" s="2162"/>
      <c r="V48" s="2162"/>
      <c r="W48" s="2162"/>
      <c r="X48" s="2162"/>
      <c r="Y48" s="2162"/>
      <c r="Z48" s="2162"/>
      <c r="AA48" s="2162"/>
      <c r="AB48" s="2162"/>
      <c r="AC48" s="2162"/>
    </row>
    <row r="49" spans="1:29" s="1220" customFormat="1" ht="15">
      <c r="A49" s="647"/>
      <c r="B49" s="648"/>
      <c r="C49" s="2829">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2564</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2565</v>
      </c>
      <c r="C67" s="2623" t="s">
        <v>2566</v>
      </c>
      <c r="D67" s="2623" t="s">
        <v>2567</v>
      </c>
      <c r="E67" s="2623" t="s">
        <v>2568</v>
      </c>
      <c r="F67" s="2623" t="s">
        <v>2569</v>
      </c>
      <c r="G67" s="2623" t="s">
        <v>2570</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660" t="s">
        <v>799</v>
      </c>
      <c r="D4" s="3661"/>
      <c r="E4" s="3694" t="s">
        <v>800</v>
      </c>
      <c r="F4" s="3695"/>
      <c r="G4" s="3660" t="s">
        <v>801</v>
      </c>
      <c r="H4" s="3661"/>
      <c r="I4" s="3660" t="s">
        <v>802</v>
      </c>
      <c r="J4" s="3661"/>
      <c r="K4" s="514" t="s">
        <v>803</v>
      </c>
      <c r="L4" s="2134"/>
      <c r="M4" s="2135"/>
      <c r="N4" s="2135"/>
      <c r="O4" s="2135"/>
      <c r="P4" s="3662" t="s">
        <v>804</v>
      </c>
      <c r="Q4" s="3663"/>
      <c r="R4" s="3668" t="s">
        <v>800</v>
      </c>
      <c r="S4" s="3669"/>
      <c r="T4" s="3668" t="s">
        <v>801</v>
      </c>
      <c r="U4" s="3669"/>
      <c r="V4" s="3655" t="s">
        <v>802</v>
      </c>
      <c r="W4" s="3655"/>
      <c r="X4" s="1567"/>
      <c r="Y4" s="3668" t="s">
        <v>804</v>
      </c>
      <c r="Z4" s="3669"/>
      <c r="AA4" s="3657" t="s">
        <v>800</v>
      </c>
      <c r="AB4" s="3658" t="s">
        <v>801</v>
      </c>
      <c r="AC4" s="3657" t="s">
        <v>802</v>
      </c>
    </row>
    <row r="5" spans="1:29" ht="15">
      <c r="A5" s="515"/>
      <c r="B5" s="516"/>
      <c r="C5" s="3676" t="s">
        <v>2938</v>
      </c>
      <c r="D5" s="3677"/>
      <c r="E5" s="3696" t="s">
        <v>2939</v>
      </c>
      <c r="F5" s="3697"/>
      <c r="G5" s="3676" t="s">
        <v>2940</v>
      </c>
      <c r="H5" s="3677"/>
      <c r="I5" s="3676" t="s">
        <v>2941</v>
      </c>
      <c r="J5" s="3677"/>
      <c r="K5" s="514"/>
      <c r="L5" s="2134"/>
      <c r="M5" s="2135"/>
      <c r="N5" s="2135"/>
      <c r="O5" s="2135"/>
      <c r="P5" s="3664"/>
      <c r="Q5" s="3665"/>
      <c r="R5" s="3670"/>
      <c r="S5" s="3671"/>
      <c r="T5" s="3670"/>
      <c r="U5" s="3671"/>
      <c r="V5" s="3655"/>
      <c r="W5" s="3655"/>
      <c r="X5" s="1567"/>
      <c r="Y5" s="3670"/>
      <c r="Z5" s="3671"/>
      <c r="AA5" s="3658"/>
      <c r="AB5" s="3658"/>
      <c r="AC5" s="3658"/>
    </row>
    <row r="6" spans="1:29" ht="15.75" thickBot="1">
      <c r="A6" s="517"/>
      <c r="B6" s="518"/>
      <c r="C6" s="3674" t="s">
        <v>2942</v>
      </c>
      <c r="D6" s="3675"/>
      <c r="E6" s="3692" t="s">
        <v>2942</v>
      </c>
      <c r="F6" s="3693"/>
      <c r="G6" s="3674" t="s">
        <v>2942</v>
      </c>
      <c r="H6" s="3675"/>
      <c r="I6" s="3674" t="s">
        <v>2942</v>
      </c>
      <c r="J6" s="3675"/>
      <c r="K6" s="514" t="s">
        <v>529</v>
      </c>
      <c r="L6" s="2134"/>
      <c r="M6" s="2135"/>
      <c r="N6" s="2135"/>
      <c r="O6" s="2135"/>
      <c r="P6" s="3666"/>
      <c r="Q6" s="3667"/>
      <c r="R6" s="3670"/>
      <c r="S6" s="3671"/>
      <c r="T6" s="3672"/>
      <c r="U6" s="3673"/>
      <c r="V6" s="3655"/>
      <c r="W6" s="3655"/>
      <c r="X6" s="1567"/>
      <c r="Y6" s="3672"/>
      <c r="Z6" s="3673"/>
      <c r="AA6" s="3659"/>
      <c r="AB6" s="3659"/>
      <c r="AC6" s="3659"/>
    </row>
    <row r="7" spans="1:29" s="1220" customFormat="1" ht="15.75" thickBot="1">
      <c r="A7" s="2938"/>
      <c r="B7" s="2945" t="s">
        <v>530</v>
      </c>
      <c r="C7" s="519">
        <f>'数据-取费表'!B2</f>
        <v>43167</v>
      </c>
      <c r="D7" s="520">
        <v>100</v>
      </c>
      <c r="E7" s="521"/>
      <c r="F7" s="522">
        <f>SUMIF(46:46,YEAR(E7)&amp;"-"&amp;MONTH(E7),47:47)</f>
        <v>0</v>
      </c>
      <c r="G7" s="523"/>
      <c r="H7" s="520">
        <f>SUMIF(46:46,YEAR(G7)&amp;"-"&amp;MONTH(G7),47:47)</f>
        <v>0</v>
      </c>
      <c r="I7" s="523"/>
      <c r="J7" s="520">
        <f>SUMIF(46:46,YEAR(I7)&amp;"-"&amp;MONTH(I7),47:47)</f>
        <v>0</v>
      </c>
      <c r="K7" s="524"/>
      <c r="L7" s="2136"/>
      <c r="M7" s="2137"/>
      <c r="N7" s="2137"/>
      <c r="O7" s="2137"/>
      <c r="P7" s="3685" t="s">
        <v>531</v>
      </c>
      <c r="Q7" s="3687"/>
      <c r="R7" s="1568" t="s">
        <v>8</v>
      </c>
      <c r="S7" s="1569">
        <f t="shared" ref="S7:S14" si="0">F7</f>
        <v>0</v>
      </c>
      <c r="T7" s="1568" t="s">
        <v>8</v>
      </c>
      <c r="U7" s="1569">
        <f t="shared" ref="U7:U14" si="1">H7</f>
        <v>0</v>
      </c>
      <c r="V7" s="1568" t="s">
        <v>8</v>
      </c>
      <c r="W7" s="1569">
        <f t="shared" ref="W7:W14" si="2">J7</f>
        <v>0</v>
      </c>
      <c r="X7" s="1570"/>
      <c r="Y7" s="3685" t="s">
        <v>531</v>
      </c>
      <c r="Z7" s="3686"/>
      <c r="AA7" s="1571" t="e">
        <f>D7/F7</f>
        <v>#DIV/0!</v>
      </c>
      <c r="AB7" s="1571" t="e">
        <f>D7/H7</f>
        <v>#DIV/0!</v>
      </c>
      <c r="AC7" s="1571" t="e">
        <f>D7/J7</f>
        <v>#DIV/0!</v>
      </c>
    </row>
    <row r="8" spans="1:29" s="1220"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685" t="s">
        <v>534</v>
      </c>
      <c r="Q8" s="3686"/>
      <c r="R8" s="1568" t="s">
        <v>8</v>
      </c>
      <c r="S8" s="1569">
        <f t="shared" si="0"/>
        <v>0</v>
      </c>
      <c r="T8" s="1568" t="s">
        <v>8</v>
      </c>
      <c r="U8" s="1569">
        <f t="shared" si="1"/>
        <v>0</v>
      </c>
      <c r="V8" s="1568" t="s">
        <v>8</v>
      </c>
      <c r="W8" s="1569">
        <f t="shared" si="2"/>
        <v>0</v>
      </c>
      <c r="X8" s="1570"/>
      <c r="Y8" s="3685" t="s">
        <v>534</v>
      </c>
      <c r="Z8" s="3686"/>
      <c r="AA8" s="1571" t="e">
        <f t="shared" ref="AA8:AA34" si="3">D8/F8</f>
        <v>#DIV/0!</v>
      </c>
      <c r="AB8" s="1571" t="e">
        <f t="shared" ref="AB8:AB34" si="4">D8/H8</f>
        <v>#DIV/0!</v>
      </c>
      <c r="AC8" s="1571" t="e">
        <f t="shared" ref="AC8:AC34" si="5">D8/J8</f>
        <v>#DIV/0!</v>
      </c>
    </row>
    <row r="9" spans="1:29" s="1220" customFormat="1" ht="15">
      <c r="A9" s="2940"/>
      <c r="B9" s="2947" t="s">
        <v>2763</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654" t="s">
        <v>536</v>
      </c>
      <c r="Q9" s="1151" t="str">
        <f t="shared" ref="Q9:Q14" si="6">B9</f>
        <v>用途</v>
      </c>
      <c r="R9" s="1568" t="s">
        <v>8</v>
      </c>
      <c r="S9" s="1569">
        <f t="shared" si="0"/>
        <v>100</v>
      </c>
      <c r="T9" s="1568" t="s">
        <v>8</v>
      </c>
      <c r="U9" s="1569">
        <f t="shared" si="1"/>
        <v>100</v>
      </c>
      <c r="V9" s="1568" t="s">
        <v>8</v>
      </c>
      <c r="W9" s="1569">
        <f t="shared" si="2"/>
        <v>100</v>
      </c>
      <c r="X9" s="1570"/>
      <c r="Y9" s="3600" t="s">
        <v>537</v>
      </c>
      <c r="Z9" s="1150" t="str">
        <f t="shared" ref="Z9:Z14" si="7">Q9</f>
        <v>用途</v>
      </c>
      <c r="AA9" s="1571">
        <f t="shared" si="3"/>
        <v>1</v>
      </c>
      <c r="AB9" s="1571">
        <f t="shared" si="4"/>
        <v>1</v>
      </c>
      <c r="AC9" s="1571">
        <f t="shared" si="5"/>
        <v>1</v>
      </c>
    </row>
    <row r="10" spans="1:29" s="1338" customFormat="1" ht="27">
      <c r="A10" s="2941"/>
      <c r="B10" s="2946" t="s">
        <v>2764</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654"/>
      <c r="Q10" s="1151" t="str">
        <f t="shared" si="6"/>
        <v>土地使用年限（年）</v>
      </c>
      <c r="R10" s="1568" t="s">
        <v>8</v>
      </c>
      <c r="S10" s="1569">
        <f t="shared" si="0"/>
        <v>100</v>
      </c>
      <c r="T10" s="1568" t="s">
        <v>8</v>
      </c>
      <c r="U10" s="1569">
        <f t="shared" si="1"/>
        <v>100</v>
      </c>
      <c r="V10" s="1568" t="s">
        <v>8</v>
      </c>
      <c r="W10" s="1569">
        <f t="shared" si="2"/>
        <v>100</v>
      </c>
      <c r="X10" s="1570"/>
      <c r="Y10" s="3600"/>
      <c r="Z10" s="1150" t="str">
        <f t="shared" si="7"/>
        <v>土地使用年限（年）</v>
      </c>
      <c r="AA10" s="1571">
        <f t="shared" si="3"/>
        <v>1</v>
      </c>
      <c r="AB10" s="1571">
        <f t="shared" si="4"/>
        <v>1</v>
      </c>
      <c r="AC10" s="1571">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654"/>
      <c r="Q11" s="1151">
        <f t="shared" si="6"/>
        <v>111</v>
      </c>
      <c r="R11" s="1568" t="s">
        <v>8</v>
      </c>
      <c r="S11" s="1569">
        <f t="shared" si="0"/>
        <v>100</v>
      </c>
      <c r="T11" s="1568" t="s">
        <v>8</v>
      </c>
      <c r="U11" s="1569">
        <f t="shared" si="1"/>
        <v>100</v>
      </c>
      <c r="V11" s="1568" t="s">
        <v>8</v>
      </c>
      <c r="W11" s="1569">
        <f t="shared" si="2"/>
        <v>100</v>
      </c>
      <c r="X11" s="1570"/>
      <c r="Y11" s="3600"/>
      <c r="Z11" s="1150">
        <f t="shared" si="7"/>
        <v>111</v>
      </c>
      <c r="AA11" s="1571">
        <f t="shared" si="3"/>
        <v>1</v>
      </c>
      <c r="AB11" s="1571">
        <f t="shared" si="4"/>
        <v>1</v>
      </c>
      <c r="AC11" s="1571">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654"/>
      <c r="Q12" s="1151">
        <f t="shared" si="6"/>
        <v>111</v>
      </c>
      <c r="R12" s="1568" t="s">
        <v>8</v>
      </c>
      <c r="S12" s="1569">
        <f t="shared" si="0"/>
        <v>100</v>
      </c>
      <c r="T12" s="1568" t="s">
        <v>8</v>
      </c>
      <c r="U12" s="1569">
        <f t="shared" si="1"/>
        <v>100</v>
      </c>
      <c r="V12" s="1568" t="s">
        <v>8</v>
      </c>
      <c r="W12" s="1569">
        <f t="shared" si="2"/>
        <v>100</v>
      </c>
      <c r="X12" s="1570"/>
      <c r="Y12" s="3600"/>
      <c r="Z12" s="1150">
        <f t="shared" si="7"/>
        <v>111</v>
      </c>
      <c r="AA12" s="1571">
        <f>D12/F12</f>
        <v>1</v>
      </c>
      <c r="AB12" s="1571">
        <f>D12/H12</f>
        <v>1</v>
      </c>
      <c r="AC12" s="1571">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654"/>
      <c r="Q13" s="1151">
        <f t="shared" si="6"/>
        <v>111</v>
      </c>
      <c r="R13" s="1568" t="s">
        <v>8</v>
      </c>
      <c r="S13" s="1569">
        <f t="shared" si="0"/>
        <v>100</v>
      </c>
      <c r="T13" s="1568" t="s">
        <v>8</v>
      </c>
      <c r="U13" s="1569">
        <f t="shared" si="1"/>
        <v>100</v>
      </c>
      <c r="V13" s="1568" t="s">
        <v>8</v>
      </c>
      <c r="W13" s="1569">
        <f t="shared" si="2"/>
        <v>100</v>
      </c>
      <c r="X13" s="1570"/>
      <c r="Y13" s="3600"/>
      <c r="Z13" s="1150">
        <f t="shared" si="7"/>
        <v>111</v>
      </c>
      <c r="AA13" s="1571">
        <f t="shared" si="3"/>
        <v>1</v>
      </c>
      <c r="AB13" s="1571">
        <f t="shared" si="4"/>
        <v>1</v>
      </c>
      <c r="AC13" s="1571">
        <f t="shared" si="5"/>
        <v>1</v>
      </c>
    </row>
    <row r="14" spans="1:29" ht="85.5">
      <c r="A14" s="2936" t="s">
        <v>2761</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688" t="s">
        <v>541</v>
      </c>
      <c r="Q14" s="1572" t="str">
        <f t="shared" si="6"/>
        <v>交通便捷度</v>
      </c>
      <c r="R14" s="1573" t="s">
        <v>8</v>
      </c>
      <c r="S14" s="1574">
        <f t="shared" si="0"/>
        <v>100</v>
      </c>
      <c r="T14" s="1573" t="s">
        <v>8</v>
      </c>
      <c r="U14" s="1574">
        <f t="shared" si="1"/>
        <v>100</v>
      </c>
      <c r="V14" s="1573" t="s">
        <v>8</v>
      </c>
      <c r="W14" s="1574">
        <f t="shared" si="2"/>
        <v>100</v>
      </c>
      <c r="X14" s="1567"/>
      <c r="Y14" s="3688" t="s">
        <v>541</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689"/>
      <c r="Q15" s="1572"/>
      <c r="R15" s="1573"/>
      <c r="S15" s="1574"/>
      <c r="T15" s="1573"/>
      <c r="U15" s="1574"/>
      <c r="V15" s="1573"/>
      <c r="W15" s="1574"/>
      <c r="X15" s="1567"/>
      <c r="Y15" s="3689"/>
      <c r="Z15" s="1575"/>
      <c r="AA15" s="1576">
        <v>1</v>
      </c>
      <c r="AB15" s="1576">
        <v>1</v>
      </c>
      <c r="AC15" s="1576">
        <v>1</v>
      </c>
    </row>
    <row r="16" spans="1:29" ht="42.75">
      <c r="A16" s="532"/>
      <c r="B16" s="2628" t="s">
        <v>2553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689"/>
      <c r="Q16" s="1572" t="str">
        <f>B16</f>
        <v>公共配套设施</v>
      </c>
      <c r="R16" s="1573" t="s">
        <v>8</v>
      </c>
      <c r="S16" s="1574">
        <f>F16</f>
        <v>100</v>
      </c>
      <c r="T16" s="1573" t="s">
        <v>8</v>
      </c>
      <c r="U16" s="1574">
        <f>H16</f>
        <v>100</v>
      </c>
      <c r="V16" s="1573" t="s">
        <v>8</v>
      </c>
      <c r="W16" s="1574">
        <f>J16</f>
        <v>100</v>
      </c>
      <c r="X16" s="1567"/>
      <c r="Y16" s="3689"/>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689"/>
      <c r="Q17" s="1572"/>
      <c r="R17" s="1573"/>
      <c r="S17" s="1574"/>
      <c r="T17" s="1573"/>
      <c r="U17" s="1574"/>
      <c r="V17" s="1573"/>
      <c r="W17" s="1574"/>
      <c r="X17" s="1567"/>
      <c r="Y17" s="3689"/>
      <c r="Z17" s="1575"/>
      <c r="AA17" s="1576">
        <v>1</v>
      </c>
      <c r="AB17" s="1576">
        <v>1</v>
      </c>
      <c r="AC17" s="1576">
        <v>1</v>
      </c>
    </row>
    <row r="18" spans="1:29" ht="28.5">
      <c r="A18" s="532"/>
      <c r="B18" s="2616" t="s">
        <v>2565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689"/>
      <c r="Q18" s="2604" t="str">
        <f>B18</f>
        <v>基础设施水平</v>
      </c>
      <c r="R18" s="1573" t="s">
        <v>8</v>
      </c>
      <c r="S18" s="1574">
        <f>F18</f>
        <v>100</v>
      </c>
      <c r="T18" s="1573" t="s">
        <v>8</v>
      </c>
      <c r="U18" s="1574">
        <f>H18</f>
        <v>100</v>
      </c>
      <c r="V18" s="1573" t="s">
        <v>8</v>
      </c>
      <c r="W18" s="1574">
        <f>J18</f>
        <v>100</v>
      </c>
      <c r="X18" s="2606"/>
      <c r="Y18" s="3689"/>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689"/>
      <c r="Q19" s="2604"/>
      <c r="R19" s="1573"/>
      <c r="S19" s="1574"/>
      <c r="T19" s="1573"/>
      <c r="U19" s="1574"/>
      <c r="V19" s="1573"/>
      <c r="W19" s="1574"/>
      <c r="X19" s="2606"/>
      <c r="Y19" s="3689"/>
      <c r="Z19" s="2605"/>
      <c r="AA19" s="1576">
        <v>1</v>
      </c>
      <c r="AB19" s="1576">
        <v>1</v>
      </c>
      <c r="AC19" s="1576">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689"/>
      <c r="Q20" s="1572" t="str">
        <f>B20</f>
        <v>自然及人文环境</v>
      </c>
      <c r="R20" s="1573" t="s">
        <v>8</v>
      </c>
      <c r="S20" s="1574">
        <f>F20</f>
        <v>100</v>
      </c>
      <c r="T20" s="1573" t="s">
        <v>8</v>
      </c>
      <c r="U20" s="1574">
        <f>H20</f>
        <v>100</v>
      </c>
      <c r="V20" s="1573" t="s">
        <v>8</v>
      </c>
      <c r="W20" s="1574">
        <f>J20</f>
        <v>100</v>
      </c>
      <c r="X20" s="1567"/>
      <c r="Y20" s="3689"/>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689"/>
      <c r="Q21" s="1572"/>
      <c r="R21" s="1573"/>
      <c r="S21" s="1574"/>
      <c r="T21" s="1573"/>
      <c r="U21" s="1574"/>
      <c r="V21" s="1573"/>
      <c r="W21" s="1574"/>
      <c r="X21" s="1567"/>
      <c r="Y21" s="3689"/>
      <c r="Z21" s="1575"/>
      <c r="AA21" s="1576">
        <v>1</v>
      </c>
      <c r="AB21" s="1576">
        <v>1</v>
      </c>
      <c r="AC21" s="1576">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689"/>
      <c r="Q22" s="1572" t="str">
        <f>B22</f>
        <v>楼层</v>
      </c>
      <c r="R22" s="1573" t="s">
        <v>8</v>
      </c>
      <c r="S22" s="1574">
        <f>F22</f>
        <v>100</v>
      </c>
      <c r="T22" s="1573" t="s">
        <v>8</v>
      </c>
      <c r="U22" s="1574">
        <f>H22</f>
        <v>100</v>
      </c>
      <c r="V22" s="1573" t="s">
        <v>8</v>
      </c>
      <c r="W22" s="1574">
        <f>J22</f>
        <v>100</v>
      </c>
      <c r="X22" s="1567"/>
      <c r="Y22" s="3689"/>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689"/>
      <c r="Q23" s="1572">
        <f>B23</f>
        <v>111</v>
      </c>
      <c r="R23" s="1573" t="s">
        <v>8</v>
      </c>
      <c r="S23" s="1574">
        <f>F23</f>
        <v>100</v>
      </c>
      <c r="T23" s="1573" t="s">
        <v>8</v>
      </c>
      <c r="U23" s="1574">
        <f>H23</f>
        <v>100</v>
      </c>
      <c r="V23" s="1573" t="s">
        <v>8</v>
      </c>
      <c r="W23" s="1574">
        <f>J23</f>
        <v>100</v>
      </c>
      <c r="X23" s="1567"/>
      <c r="Y23" s="3689"/>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689"/>
      <c r="Q24" s="1572">
        <f t="shared" ref="Q24:Q34" si="11">B24</f>
        <v>111</v>
      </c>
      <c r="R24" s="1573" t="s">
        <v>8</v>
      </c>
      <c r="S24" s="1574">
        <f>F24</f>
        <v>100</v>
      </c>
      <c r="T24" s="1573" t="s">
        <v>8</v>
      </c>
      <c r="U24" s="1574">
        <f>H24</f>
        <v>100</v>
      </c>
      <c r="V24" s="1573" t="s">
        <v>8</v>
      </c>
      <c r="W24" s="1574">
        <f>J24</f>
        <v>100</v>
      </c>
      <c r="X24" s="1567"/>
      <c r="Y24" s="3689"/>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689"/>
      <c r="Q25" s="1151">
        <f t="shared" si="11"/>
        <v>111</v>
      </c>
      <c r="R25" s="1568" t="s">
        <v>8</v>
      </c>
      <c r="S25" s="1569">
        <f>F25</f>
        <v>100</v>
      </c>
      <c r="T25" s="1568" t="s">
        <v>8</v>
      </c>
      <c r="U25" s="1569">
        <f>H25</f>
        <v>100</v>
      </c>
      <c r="V25" s="1568" t="s">
        <v>8</v>
      </c>
      <c r="W25" s="1569">
        <f>J25</f>
        <v>100</v>
      </c>
      <c r="X25" s="1570"/>
      <c r="Y25" s="3689"/>
      <c r="Z25" s="1150">
        <f>Q25</f>
        <v>111</v>
      </c>
      <c r="AA25" s="1576">
        <f>D25/F25</f>
        <v>1</v>
      </c>
      <c r="AB25" s="1576">
        <f>D25/H25</f>
        <v>1</v>
      </c>
      <c r="AC25" s="1576">
        <f>D25/J25</f>
        <v>1</v>
      </c>
    </row>
    <row r="26" spans="1:29" ht="15">
      <c r="A26" s="2933" t="s">
        <v>2762</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690"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691" t="s">
        <v>822</v>
      </c>
      <c r="Z26" s="1575" t="str">
        <f t="shared" ref="Z26:Z34" si="15">Q26</f>
        <v>公共部分装修</v>
      </c>
      <c r="AA26" s="1576">
        <f t="shared" si="3"/>
        <v>1</v>
      </c>
      <c r="AB26" s="1576">
        <f t="shared" si="4"/>
        <v>1</v>
      </c>
      <c r="AC26" s="1576">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691"/>
      <c r="Q27" s="1605" t="str">
        <f t="shared" si="11"/>
        <v>成新率</v>
      </c>
      <c r="R27" s="1577" t="s">
        <v>8</v>
      </c>
      <c r="S27" s="1578" t="e">
        <f t="shared" si="12"/>
        <v>#N/A</v>
      </c>
      <c r="T27" s="1577" t="s">
        <v>8</v>
      </c>
      <c r="U27" s="1578" t="e">
        <f t="shared" si="13"/>
        <v>#N/A</v>
      </c>
      <c r="V27" s="1577" t="s">
        <v>8</v>
      </c>
      <c r="W27" s="1578" t="e">
        <f t="shared" si="14"/>
        <v>#N/A</v>
      </c>
      <c r="X27" s="1579"/>
      <c r="Y27" s="3691"/>
      <c r="Z27" s="1580" t="str">
        <f t="shared" si="15"/>
        <v>成新率</v>
      </c>
      <c r="AA27" s="1576" t="e">
        <f t="shared" si="3"/>
        <v>#N/A</v>
      </c>
      <c r="AB27" s="1576" t="e">
        <f t="shared" si="4"/>
        <v>#N/A</v>
      </c>
      <c r="AC27" s="1576"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691"/>
      <c r="Q28" s="1572" t="str">
        <f t="shared" si="11"/>
        <v>物业等级</v>
      </c>
      <c r="R28" s="1573" t="s">
        <v>8</v>
      </c>
      <c r="S28" s="1574">
        <f t="shared" si="12"/>
        <v>100</v>
      </c>
      <c r="T28" s="1573" t="s">
        <v>8</v>
      </c>
      <c r="U28" s="1574">
        <f t="shared" si="13"/>
        <v>100</v>
      </c>
      <c r="V28" s="1573" t="s">
        <v>8</v>
      </c>
      <c r="W28" s="1574">
        <f t="shared" si="14"/>
        <v>100</v>
      </c>
      <c r="X28" s="1567"/>
      <c r="Y28" s="3691"/>
      <c r="Z28" s="1575" t="str">
        <f t="shared" si="15"/>
        <v>物业等级</v>
      </c>
      <c r="AA28" s="1576">
        <f t="shared" si="3"/>
        <v>1</v>
      </c>
      <c r="AB28" s="1576">
        <f t="shared" si="4"/>
        <v>1</v>
      </c>
      <c r="AC28" s="1576">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691"/>
      <c r="Q29" s="1572" t="str">
        <f t="shared" si="11"/>
        <v>有无电梯</v>
      </c>
      <c r="R29" s="1573" t="s">
        <v>8</v>
      </c>
      <c r="S29" s="1574">
        <f t="shared" si="12"/>
        <v>100</v>
      </c>
      <c r="T29" s="1573" t="s">
        <v>8</v>
      </c>
      <c r="U29" s="1574">
        <f t="shared" si="13"/>
        <v>100</v>
      </c>
      <c r="V29" s="1573" t="s">
        <v>8</v>
      </c>
      <c r="W29" s="1574">
        <f t="shared" si="14"/>
        <v>100</v>
      </c>
      <c r="X29" s="1567"/>
      <c r="Y29" s="3691"/>
      <c r="Z29" s="1575" t="str">
        <f t="shared" si="15"/>
        <v>有无电梯</v>
      </c>
      <c r="AA29" s="1576">
        <f t="shared" si="3"/>
        <v>1</v>
      </c>
      <c r="AB29" s="1576">
        <f t="shared" si="4"/>
        <v>1</v>
      </c>
      <c r="AC29" s="1576">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691"/>
      <c r="Q30" s="1572" t="str">
        <f t="shared" si="11"/>
        <v>建筑面积</v>
      </c>
      <c r="R30" s="1573" t="s">
        <v>8</v>
      </c>
      <c r="S30" s="1574" t="e">
        <f t="shared" si="12"/>
        <v>#N/A</v>
      </c>
      <c r="T30" s="1573" t="s">
        <v>8</v>
      </c>
      <c r="U30" s="1574" t="e">
        <f t="shared" si="13"/>
        <v>#N/A</v>
      </c>
      <c r="V30" s="1573" t="s">
        <v>8</v>
      </c>
      <c r="W30" s="1574" t="e">
        <f t="shared" si="14"/>
        <v>#N/A</v>
      </c>
      <c r="X30" s="1567"/>
      <c r="Y30" s="3691"/>
      <c r="Z30" s="1575" t="str">
        <f t="shared" si="15"/>
        <v>建筑面积</v>
      </c>
      <c r="AA30" s="1576" t="e">
        <f t="shared" si="3"/>
        <v>#N/A</v>
      </c>
      <c r="AB30" s="1576" t="e">
        <f t="shared" si="4"/>
        <v>#N/A</v>
      </c>
      <c r="AC30" s="1576"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691"/>
      <c r="Q31" s="1151" t="str">
        <f t="shared" si="11"/>
        <v>是否封闭</v>
      </c>
      <c r="R31" s="1568" t="s">
        <v>8</v>
      </c>
      <c r="S31" s="1569">
        <f t="shared" si="12"/>
        <v>100</v>
      </c>
      <c r="T31" s="1568" t="s">
        <v>8</v>
      </c>
      <c r="U31" s="1569">
        <f t="shared" si="13"/>
        <v>100</v>
      </c>
      <c r="V31" s="1568" t="s">
        <v>8</v>
      </c>
      <c r="W31" s="1569">
        <f t="shared" si="14"/>
        <v>100</v>
      </c>
      <c r="X31" s="1570"/>
      <c r="Y31" s="3691"/>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691" t="s">
        <v>551</v>
      </c>
      <c r="Q32" s="1572">
        <f t="shared" si="11"/>
        <v>111</v>
      </c>
      <c r="R32" s="1573" t="s">
        <v>8</v>
      </c>
      <c r="S32" s="1574">
        <f t="shared" si="12"/>
        <v>100</v>
      </c>
      <c r="T32" s="1573" t="s">
        <v>8</v>
      </c>
      <c r="U32" s="1574">
        <f t="shared" si="13"/>
        <v>100</v>
      </c>
      <c r="V32" s="1573" t="s">
        <v>8</v>
      </c>
      <c r="W32" s="1574">
        <f t="shared" si="14"/>
        <v>100</v>
      </c>
      <c r="X32" s="1567"/>
      <c r="Y32" s="3691" t="s">
        <v>551</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691"/>
      <c r="Q33" s="1572">
        <f t="shared" si="11"/>
        <v>111</v>
      </c>
      <c r="R33" s="1573" t="s">
        <v>8</v>
      </c>
      <c r="S33" s="1574">
        <f t="shared" si="12"/>
        <v>100</v>
      </c>
      <c r="T33" s="1573" t="s">
        <v>8</v>
      </c>
      <c r="U33" s="1574">
        <f t="shared" si="13"/>
        <v>100</v>
      </c>
      <c r="V33" s="1573" t="s">
        <v>8</v>
      </c>
      <c r="W33" s="1574">
        <f t="shared" si="14"/>
        <v>100</v>
      </c>
      <c r="X33" s="1567"/>
      <c r="Y33" s="3691"/>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691"/>
      <c r="Q34" s="1572">
        <f t="shared" si="11"/>
        <v>111</v>
      </c>
      <c r="R34" s="1573" t="s">
        <v>8</v>
      </c>
      <c r="S34" s="1574">
        <f t="shared" si="12"/>
        <v>100</v>
      </c>
      <c r="T34" s="1573" t="s">
        <v>8</v>
      </c>
      <c r="U34" s="1574">
        <f t="shared" si="13"/>
        <v>100</v>
      </c>
      <c r="V34" s="1573" t="s">
        <v>8</v>
      </c>
      <c r="W34" s="1574">
        <f t="shared" si="14"/>
        <v>100</v>
      </c>
      <c r="X34" s="1567"/>
      <c r="Y34" s="3691"/>
      <c r="Z34" s="1575">
        <f t="shared" si="15"/>
        <v>111</v>
      </c>
      <c r="AA34" s="1576">
        <f t="shared" si="3"/>
        <v>1</v>
      </c>
      <c r="AB34" s="1576">
        <f t="shared" si="4"/>
        <v>1</v>
      </c>
      <c r="AC34" s="1576">
        <f t="shared" si="5"/>
        <v>1</v>
      </c>
    </row>
    <row r="35" spans="1:29" ht="15">
      <c r="A35" s="607" t="s">
        <v>737</v>
      </c>
      <c r="B35" s="887"/>
      <c r="C35" s="2652" t="s">
        <v>1</v>
      </c>
      <c r="D35" s="2653"/>
      <c r="E35" s="2654"/>
      <c r="F35" s="2655"/>
      <c r="G35" s="2656"/>
      <c r="H35" s="2657"/>
      <c r="I35" s="2654"/>
      <c r="J35" s="2657"/>
      <c r="K35" s="1611"/>
      <c r="L35" s="2145"/>
      <c r="M35" s="2146"/>
      <c r="N35" s="2135"/>
      <c r="O35" s="2146"/>
      <c r="P35" s="3654" t="str">
        <f>A35</f>
        <v>成交单价（元/平方米）</v>
      </c>
      <c r="Q35" s="3654"/>
      <c r="R35" s="3767">
        <f>E35</f>
        <v>0</v>
      </c>
      <c r="S35" s="3767"/>
      <c r="T35" s="3767">
        <f>G35</f>
        <v>0</v>
      </c>
      <c r="U35" s="3767"/>
      <c r="V35" s="3767">
        <f>I35</f>
        <v>0</v>
      </c>
      <c r="W35" s="3767"/>
      <c r="X35" s="1559"/>
      <c r="Y35" s="1581"/>
      <c r="Z35" s="1559"/>
      <c r="AA35" s="1559"/>
      <c r="AB35" s="1559"/>
      <c r="AC35" s="1559"/>
    </row>
    <row r="36" spans="1:29" ht="15.75" thickBot="1">
      <c r="A36" s="615" t="s">
        <v>2767</v>
      </c>
      <c r="B36" s="888"/>
      <c r="C36" s="2658" t="e">
        <f>R37</f>
        <v>#DIV/0!</v>
      </c>
      <c r="D36" s="2659"/>
      <c r="E36" s="2660" t="e">
        <f>R36</f>
        <v>#DIV/0!</v>
      </c>
      <c r="F36" s="2660"/>
      <c r="G36" s="2658" t="e">
        <f>T36</f>
        <v>#DIV/0!</v>
      </c>
      <c r="H36" s="2659"/>
      <c r="I36" s="2660" t="e">
        <f>V36</f>
        <v>#DIV/0!</v>
      </c>
      <c r="J36" s="2659"/>
      <c r="K36" s="1612"/>
      <c r="L36" s="2145"/>
      <c r="M36" s="2146"/>
      <c r="N36" s="2135"/>
      <c r="O36" s="2146"/>
      <c r="P36" s="3654" t="str">
        <f>A36</f>
        <v>比较价格（元/平方米）</v>
      </c>
      <c r="Q36" s="3654"/>
      <c r="R36" s="3767" t="e">
        <f>IF(F1="售价",ROUND(PRODUCT(R35,AA7:AA34),0),ROUND(PRODUCT(R35,AA7:AA34),1))</f>
        <v>#DIV/0!</v>
      </c>
      <c r="S36" s="3767"/>
      <c r="T36" s="3767" t="e">
        <f>IF(F1="售价",ROUND(PRODUCT(T35,AB7:AB34),0),ROUND(PRODUCT(T35,AB7:AB34),1))</f>
        <v>#DIV/0!</v>
      </c>
      <c r="U36" s="3767"/>
      <c r="V36" s="3767" t="e">
        <f>IF(F1="售价",ROUND(PRODUCT(V35,AC7:AC34),0),ROUND(PRODUCT(V35,AC7:AC34),1))</f>
        <v>#DIV/0!</v>
      </c>
      <c r="W36" s="3767"/>
      <c r="X36" s="1559"/>
      <c r="Y36" s="1559"/>
      <c r="Z36" s="1559"/>
      <c r="AA36" s="1559"/>
      <c r="AB36" s="1559"/>
      <c r="AC36" s="1559"/>
    </row>
    <row r="37" spans="1:29" ht="15.75" thickBot="1">
      <c r="A37" s="621" t="s">
        <v>2944</v>
      </c>
      <c r="B37" s="622"/>
      <c r="C37" s="2661" t="e">
        <f>R37</f>
        <v>#DIV/0!</v>
      </c>
      <c r="D37" s="2661"/>
      <c r="E37" s="2661"/>
      <c r="F37" s="2661"/>
      <c r="G37" s="2661"/>
      <c r="H37" s="2661"/>
      <c r="I37" s="2661"/>
      <c r="J37" s="2661"/>
      <c r="K37" s="1613"/>
      <c r="L37" s="2145"/>
      <c r="M37" s="2146"/>
      <c r="N37" s="2146"/>
      <c r="O37" s="2146"/>
      <c r="P37" s="3651" t="str">
        <f>A37</f>
        <v>估价对象XX用房的比较价格（楼面单价，元/平方米）</v>
      </c>
      <c r="Q37" s="3652"/>
      <c r="R37" s="3766" t="e">
        <f>IF(F1="售价",ROUND(AVERAGE(R36:V36),0),ROUND(AVERAGE(R36:V36),1))</f>
        <v>#DIV/0!</v>
      </c>
      <c r="S37" s="3766"/>
      <c r="T37" s="3766"/>
      <c r="U37" s="3766"/>
      <c r="V37" s="3766"/>
      <c r="W37" s="3766"/>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530</v>
      </c>
      <c r="B46" s="646"/>
      <c r="C46" s="2828" t="str">
        <f>YEAR(C7)&amp;"-"&amp;MONTH(C7)</f>
        <v>2018-3</v>
      </c>
      <c r="D46" s="2830">
        <f>EDATE(C46,-1)</f>
        <v>43132</v>
      </c>
      <c r="E46" s="2830">
        <f t="shared" ref="E46:O46" si="16">EDATE(D46,-1)</f>
        <v>43101</v>
      </c>
      <c r="F46" s="2830">
        <f t="shared" si="16"/>
        <v>43070</v>
      </c>
      <c r="G46" s="2830">
        <f t="shared" si="16"/>
        <v>43040</v>
      </c>
      <c r="H46" s="2830">
        <f t="shared" si="16"/>
        <v>43009</v>
      </c>
      <c r="I46" s="2830">
        <f t="shared" si="16"/>
        <v>42979</v>
      </c>
      <c r="J46" s="2830">
        <f t="shared" si="16"/>
        <v>42948</v>
      </c>
      <c r="K46" s="2830">
        <f t="shared" si="16"/>
        <v>42917</v>
      </c>
      <c r="L46" s="2830">
        <f t="shared" si="16"/>
        <v>42887</v>
      </c>
      <c r="M46" s="2830">
        <f t="shared" si="16"/>
        <v>42856</v>
      </c>
      <c r="N46" s="2830">
        <f t="shared" si="16"/>
        <v>42826</v>
      </c>
      <c r="O46" s="2830">
        <f t="shared" si="16"/>
        <v>42795</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2564</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2565</v>
      </c>
      <c r="C65" s="2623" t="s">
        <v>2566</v>
      </c>
      <c r="D65" s="2623" t="s">
        <v>2567</v>
      </c>
      <c r="E65" s="2623" t="s">
        <v>2568</v>
      </c>
      <c r="F65" s="2623" t="s">
        <v>2569</v>
      </c>
      <c r="G65" s="2623" t="s">
        <v>2570</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828</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2307</v>
      </c>
      <c r="C1" s="3776" t="s">
        <v>2308</v>
      </c>
      <c r="D1" s="3777"/>
      <c r="E1" s="3777"/>
      <c r="F1" s="3777"/>
      <c r="G1" s="3777"/>
      <c r="H1" s="3777"/>
      <c r="I1" s="3777"/>
      <c r="J1" s="3777"/>
      <c r="K1" s="3777"/>
      <c r="L1" s="3777"/>
      <c r="M1" s="3777"/>
      <c r="N1" s="3777"/>
      <c r="O1" s="3777"/>
      <c r="P1" s="3777"/>
      <c r="Q1" s="3777"/>
      <c r="R1" s="3777"/>
      <c r="S1" s="3778"/>
      <c r="T1" s="2235" t="s">
        <v>2309</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6" t="s">
        <v>2937</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8" t="s">
        <v>2936</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8" t="s">
        <v>2935</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6" t="s">
        <v>2950</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6" t="s">
        <v>2934</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6" t="s">
        <v>2933</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2311</v>
      </c>
      <c r="B17" s="2279" t="s">
        <v>2312</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773" t="s">
        <v>20</v>
      </c>
      <c r="D22" s="3774"/>
      <c r="E22" s="3774"/>
      <c r="F22" s="3774"/>
      <c r="G22" s="3774"/>
      <c r="H22" s="3774"/>
      <c r="I22" s="3774"/>
      <c r="J22" s="3774"/>
      <c r="K22" s="3774"/>
      <c r="L22" s="3774"/>
      <c r="M22" s="3774"/>
      <c r="N22" s="3774"/>
      <c r="O22" s="3774"/>
      <c r="P22" s="3774"/>
      <c r="Q22" s="3775"/>
      <c r="R22" s="490"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5"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2795</v>
      </c>
      <c r="C1" s="3030">
        <f>项目基本情况!D3</f>
        <v>43167</v>
      </c>
      <c r="H1" s="2964">
        <f>IF(C1&gt;C13,0,MATCH(C1,C$13:C$100,-1))+IF(SUMIF(C13:C100,C1,D13:D100)=0,13,12)</f>
        <v>13</v>
      </c>
      <c r="I1" s="2964">
        <f ca="1">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2826</v>
      </c>
      <c r="C2" s="3031">
        <f>'数据-取费表'!B22</f>
        <v>3</v>
      </c>
      <c r="D2" s="3026" t="s">
        <v>2796</v>
      </c>
      <c r="E2" s="3029">
        <f ca="1">INDIRECT("I"&amp;$I$1)/100</f>
        <v>4.7500000000000001E-2</v>
      </c>
      <c r="G2" s="2966"/>
      <c r="H2" s="2966"/>
      <c r="I2" s="2966" t="s">
        <v>2797</v>
      </c>
      <c r="K2" s="2966"/>
      <c r="L2" s="2966"/>
      <c r="M2" s="2966"/>
      <c r="N2" s="2966" t="s">
        <v>2798</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2828</v>
      </c>
      <c r="C3" s="3028">
        <f>'数据-取费表'!B19</f>
        <v>0</v>
      </c>
      <c r="D3" s="3026" t="s">
        <v>2796</v>
      </c>
      <c r="E3" s="3029">
        <f ca="1">INDIRECT("J"&amp;$J$1)/100</f>
        <v>0</v>
      </c>
      <c r="G3" s="2968" t="s">
        <v>2799</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2827</v>
      </c>
      <c r="C4" s="3029">
        <f ca="1">N4/100</f>
        <v>1.4999999999999999E-2</v>
      </c>
      <c r="G4" s="2974" t="s">
        <v>2800</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2801</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2802</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2803</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2804</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2805</v>
      </c>
      <c r="C10" s="2993"/>
      <c r="D10" s="2993"/>
      <c r="E10" s="2993"/>
      <c r="F10" s="2993"/>
      <c r="G10" s="2993"/>
      <c r="H10" s="2993"/>
      <c r="I10" s="2967"/>
      <c r="J10" s="2967"/>
      <c r="K10" s="2993"/>
      <c r="L10" s="2994" t="s">
        <v>2806</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2807</v>
      </c>
      <c r="C11" s="2998" t="s">
        <v>2808</v>
      </c>
      <c r="D11" s="2999" t="s">
        <v>2809</v>
      </c>
      <c r="E11" s="3000"/>
      <c r="F11" s="2999" t="s">
        <v>2810</v>
      </c>
      <c r="G11" s="3001"/>
      <c r="H11" s="3000"/>
      <c r="I11" s="2999" t="s">
        <v>2811</v>
      </c>
      <c r="J11" s="3000"/>
      <c r="K11" s="2996"/>
      <c r="L11" s="2997" t="s">
        <v>2807</v>
      </c>
      <c r="M11" s="2998" t="s">
        <v>2808</v>
      </c>
      <c r="N11" s="2997" t="s">
        <v>2812</v>
      </c>
      <c r="O11" s="2999" t="s">
        <v>2813</v>
      </c>
      <c r="P11" s="3001"/>
      <c r="Q11" s="3001"/>
      <c r="R11" s="3001"/>
      <c r="S11" s="3001"/>
      <c r="T11" s="3000"/>
      <c r="U11" s="2999" t="s">
        <v>2814</v>
      </c>
      <c r="V11" s="3001"/>
      <c r="W11" s="3000"/>
      <c r="X11" s="2997" t="s">
        <v>2815</v>
      </c>
      <c r="Y11" s="2997" t="s">
        <v>2816</v>
      </c>
      <c r="Z11" s="2997" t="s">
        <v>2817</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2818</v>
      </c>
      <c r="E12" s="3006" t="s">
        <v>2819</v>
      </c>
      <c r="F12" s="3006" t="s">
        <v>2820</v>
      </c>
      <c r="G12" s="3006" t="s">
        <v>2821</v>
      </c>
      <c r="H12" s="3006" t="s">
        <v>2803</v>
      </c>
      <c r="I12" s="3007" t="s">
        <v>2822</v>
      </c>
      <c r="J12" s="3007" t="s">
        <v>2822</v>
      </c>
      <c r="K12" s="3003"/>
      <c r="L12" s="3004"/>
      <c r="M12" s="3005"/>
      <c r="N12" s="3004"/>
      <c r="O12" s="3007" t="s">
        <v>2823</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2824</v>
      </c>
      <c r="C13" s="3011">
        <v>42301</v>
      </c>
      <c r="D13" s="3012">
        <v>4.3499999999999996</v>
      </c>
      <c r="E13" s="3012">
        <v>4.3499999999999996</v>
      </c>
      <c r="F13" s="3012">
        <v>4.75</v>
      </c>
      <c r="G13" s="3012">
        <v>4.75</v>
      </c>
      <c r="H13" s="3012">
        <v>4.9000000000000004</v>
      </c>
      <c r="I13" s="3012">
        <v>2.75</v>
      </c>
      <c r="J13" s="3012">
        <v>3.25</v>
      </c>
      <c r="K13" s="3009"/>
      <c r="L13" s="3010" t="s">
        <v>2824</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2825</v>
      </c>
      <c r="Y42" s="3016" t="s">
        <v>2825</v>
      </c>
      <c r="Z42" s="3016" t="s">
        <v>2825</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2825</v>
      </c>
      <c r="Y43" s="3016" t="s">
        <v>2825</v>
      </c>
      <c r="Z43" s="3016" t="s">
        <v>2825</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2825</v>
      </c>
      <c r="Y44" s="3016" t="s">
        <v>2825</v>
      </c>
      <c r="Z44" s="3016" t="s">
        <v>2825</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2825</v>
      </c>
      <c r="Y45" s="3016" t="s">
        <v>2825</v>
      </c>
      <c r="Z45" s="3016" t="s">
        <v>2825</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2825</v>
      </c>
      <c r="Y46" s="3016" t="s">
        <v>2825</v>
      </c>
      <c r="Z46" s="3016" t="s">
        <v>2825</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2825</v>
      </c>
      <c r="Y47" s="3016" t="s">
        <v>2825</v>
      </c>
      <c r="Z47" s="3016" t="s">
        <v>2825</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2825</v>
      </c>
      <c r="Y48" s="3016" t="s">
        <v>2825</v>
      </c>
      <c r="Z48" s="3016" t="s">
        <v>2825</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2825</v>
      </c>
      <c r="Y49" s="3016" t="s">
        <v>2825</v>
      </c>
      <c r="Z49" s="3016" t="s">
        <v>2825</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2825</v>
      </c>
      <c r="Y50" s="3016" t="s">
        <v>2825</v>
      </c>
      <c r="Z50" s="3016" t="s">
        <v>2825</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2825</v>
      </c>
      <c r="V51" s="3016" t="s">
        <v>2825</v>
      </c>
      <c r="W51" s="3016" t="s">
        <v>2825</v>
      </c>
      <c r="X51" s="3016" t="s">
        <v>2825</v>
      </c>
      <c r="Y51" s="3016" t="s">
        <v>2825</v>
      </c>
      <c r="Z51" s="3016" t="s">
        <v>2825</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2825</v>
      </c>
      <c r="J55" s="3016" t="s">
        <v>2825</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69347.5平方米。根据《建设工程规划许可证》[]、《出让合同》[]，估价对象规划建筑面积为505683.77平方米。</v>
      </c>
    </row>
    <row r="7" spans="1:4" ht="93.75">
      <c r="A7" s="2899" t="s">
        <v>2755</v>
      </c>
    </row>
    <row r="8" spans="1:4" ht="18.75">
      <c r="A8" s="1795" t="s">
        <v>1908</v>
      </c>
    </row>
    <row r="9" spans="1:4" ht="56.2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2018年3月8日（评估专业人员勘察现场之日）</v>
      </c>
    </row>
    <row r="12" spans="1:4" ht="18.75">
      <c r="A12" s="1798" t="s">
        <v>2029</v>
      </c>
    </row>
    <row r="13" spans="1:4" ht="18.75">
      <c r="A13" s="1792" t="s">
        <v>2075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根据《国有土地使用证》[]，估价对象（分摊）出让国有建设用地使用权面积为69347.5平方米。根据《建设工程规划许可证》[]、《出让合同》[]，估价对象规划建筑面积为505683.77平方米。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2078</v>
      </c>
    </row>
    <row r="23" spans="1:1" ht="18.75">
      <c r="A23" s="2901" t="s">
        <v>2756</v>
      </c>
    </row>
    <row r="24" spans="1:1" ht="18.75">
      <c r="A24" s="1792" t="s">
        <v>2079</v>
      </c>
    </row>
    <row r="25" spans="1:1" ht="150">
      <c r="A25" s="1792" t="str">
        <f>定义!C53</f>
        <v>本次估价的“出让国有建设用地使用权价格”是指在估价对象土地所有权为国家所有，使用权性质为出让，在公开市场条件下、于估价期日2018年3月8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7" t="s">
        <v>2042</v>
      </c>
      <c r="B1" s="3487"/>
      <c r="C1" s="3487"/>
      <c r="D1" s="3487"/>
      <c r="E1" s="3487"/>
      <c r="F1" s="3487"/>
      <c r="G1" s="3487"/>
      <c r="H1" s="3487"/>
      <c r="I1" s="3487"/>
      <c r="J1" s="3487"/>
      <c r="K1" s="3487"/>
      <c r="L1" s="3487"/>
      <c r="M1" s="3487"/>
      <c r="N1" s="3487"/>
      <c r="O1" s="3487"/>
      <c r="P1" s="3487"/>
      <c r="Q1" s="3487"/>
      <c r="R1" s="3487"/>
    </row>
    <row r="2" spans="1:18">
      <c r="A2" s="1808" t="s">
        <v>2044</v>
      </c>
      <c r="B2" s="1808"/>
      <c r="C2" s="1808"/>
      <c r="D2" s="1808"/>
      <c r="E2" s="1808"/>
      <c r="F2" s="1808"/>
      <c r="G2" s="1808"/>
      <c r="H2" s="1808"/>
      <c r="I2" s="1809"/>
      <c r="J2" s="1809"/>
      <c r="K2" s="1810" t="str">
        <f>"估价期日："&amp;TEXT(项目基本情况!D3,"yyyy年m月d日;;")</f>
        <v>估价期日：2018年3月8日</v>
      </c>
      <c r="L2" s="1808"/>
      <c r="M2" s="1808"/>
      <c r="N2" s="1808"/>
      <c r="O2" s="1808"/>
      <c r="P2" s="1808"/>
      <c r="Q2" s="1808"/>
      <c r="R2" s="1810" t="str">
        <f>"估价期日的国有建设用地使用权性质："&amp;项目基本情况!B16</f>
        <v>估价期日的国有建设用地使用权性质：出让</v>
      </c>
    </row>
    <row r="3" spans="1:18" ht="23.25" customHeight="1">
      <c r="A3" s="3488" t="s">
        <v>2033</v>
      </c>
      <c r="B3" s="3488" t="s">
        <v>2738</v>
      </c>
      <c r="C3" s="3489" t="s">
        <v>2034</v>
      </c>
      <c r="D3" s="3488" t="s">
        <v>2742</v>
      </c>
      <c r="E3" s="3491" t="s">
        <v>2035</v>
      </c>
      <c r="F3" s="3491"/>
      <c r="G3" s="3491"/>
      <c r="H3" s="3491" t="s">
        <v>2036</v>
      </c>
      <c r="I3" s="3491"/>
      <c r="J3" s="3491"/>
      <c r="K3" s="3489" t="s">
        <v>2037</v>
      </c>
      <c r="L3" s="3489" t="s">
        <v>2038</v>
      </c>
      <c r="M3" s="3488" t="s">
        <v>2739</v>
      </c>
      <c r="N3" s="3490" t="str">
        <f>"（分摊）"&amp;项目基本情况!B16&amp;"国有建设用地使用权面积/㎡"</f>
        <v>（分摊）出让国有建设用地使用权面积/㎡</v>
      </c>
      <c r="O3" s="3488" t="s">
        <v>2067</v>
      </c>
      <c r="P3" s="3489" t="s">
        <v>2047</v>
      </c>
      <c r="Q3" s="3489" t="s">
        <v>2068</v>
      </c>
      <c r="R3" s="3489" t="s">
        <v>2039</v>
      </c>
    </row>
    <row r="4" spans="1:18" ht="36.75" customHeight="1">
      <c r="A4" s="3488"/>
      <c r="B4" s="3488"/>
      <c r="C4" s="3489"/>
      <c r="D4" s="3488"/>
      <c r="E4" s="2675" t="s">
        <v>2046</v>
      </c>
      <c r="F4" s="2675" t="s">
        <v>2751</v>
      </c>
      <c r="G4" s="2675" t="s">
        <v>2040</v>
      </c>
      <c r="H4" s="2675" t="s">
        <v>2041</v>
      </c>
      <c r="I4" s="2675" t="s">
        <v>2752</v>
      </c>
      <c r="J4" s="2675" t="s">
        <v>2040</v>
      </c>
      <c r="K4" s="3489"/>
      <c r="L4" s="3489"/>
      <c r="M4" s="3488"/>
      <c r="N4" s="3490"/>
      <c r="O4" s="3488"/>
      <c r="P4" s="3489"/>
      <c r="Q4" s="3489"/>
      <c r="R4" s="3489"/>
    </row>
    <row r="5" spans="1:18" ht="135" customHeight="1">
      <c r="A5" s="1944" t="s">
        <v>2662</v>
      </c>
      <c r="B5" s="2893" t="s">
        <v>2660</v>
      </c>
      <c r="C5" s="2674">
        <v>22</v>
      </c>
      <c r="D5" s="2673" t="s">
        <v>2661</v>
      </c>
      <c r="E5" s="1811">
        <f>项目基本情况!B12</f>
        <v>0</v>
      </c>
      <c r="F5" s="2673">
        <v>258</v>
      </c>
      <c r="G5" s="1811">
        <f>项目基本情况!B13</f>
        <v>0</v>
      </c>
      <c r="H5" s="2673">
        <v>1.5</v>
      </c>
      <c r="I5" s="2673">
        <v>1.5</v>
      </c>
      <c r="J5" s="2673">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69347.5</v>
      </c>
      <c r="O5" s="1811">
        <f>项目基本情况!C21</f>
        <v>505683.77</v>
      </c>
      <c r="P5" s="1811">
        <f ca="1">结果表!E42</f>
        <v>22561</v>
      </c>
      <c r="Q5" s="1811">
        <f ca="1">结果表!D42</f>
        <v>3094</v>
      </c>
      <c r="R5" s="1812">
        <f ca="1">结果表!C42</f>
        <v>156458</v>
      </c>
    </row>
    <row r="6" spans="1:18">
      <c r="A6" s="3492" t="str">
        <f>IF(项目基本情况!B9="市场价格","——","抵押价格")</f>
        <v>抵押价格</v>
      </c>
      <c r="B6" s="3493"/>
      <c r="C6" s="3493"/>
      <c r="D6" s="3493"/>
      <c r="E6" s="3493"/>
      <c r="F6" s="3493"/>
      <c r="G6" s="3493"/>
      <c r="H6" s="3493"/>
      <c r="I6" s="3493"/>
      <c r="J6" s="3493"/>
      <c r="K6" s="3493"/>
      <c r="L6" s="3493"/>
      <c r="M6" s="3493"/>
      <c r="N6" s="3493"/>
      <c r="O6" s="3493"/>
      <c r="P6" s="3493"/>
      <c r="Q6" s="3494"/>
      <c r="R6" s="1813" t="str">
        <f>结果表!O39</f>
        <v>——</v>
      </c>
    </row>
    <row r="7" spans="1:18">
      <c r="A7" s="3492" t="str">
        <f>IF(项目基本情况!B9="市场价格","——",IF(项目基本情况!E8="已注销及未注销","抵押担保权已注销时的抵押价格","——"))</f>
        <v>——</v>
      </c>
      <c r="B7" s="3493"/>
      <c r="C7" s="3493"/>
      <c r="D7" s="3493"/>
      <c r="E7" s="3493"/>
      <c r="F7" s="3493"/>
      <c r="G7" s="3493"/>
      <c r="H7" s="3493"/>
      <c r="I7" s="3493"/>
      <c r="J7" s="3493"/>
      <c r="K7" s="3493"/>
      <c r="L7" s="3493"/>
      <c r="M7" s="3493"/>
      <c r="N7" s="3493"/>
      <c r="O7" s="3493"/>
      <c r="P7" s="3493"/>
      <c r="Q7" s="3494"/>
      <c r="R7" s="1813" t="str">
        <f>结果表!O40</f>
        <v>——</v>
      </c>
    </row>
    <row r="8" spans="1:18">
      <c r="A8" s="3492">
        <f>IF(项目基本情况!B9="市场价格","——",项目基本情况!E9)</f>
        <v>0</v>
      </c>
      <c r="B8" s="3493"/>
      <c r="C8" s="3493"/>
      <c r="D8" s="3493"/>
      <c r="E8" s="3493"/>
      <c r="F8" s="3493"/>
      <c r="G8" s="3493"/>
      <c r="H8" s="3493"/>
      <c r="I8" s="3493"/>
      <c r="J8" s="3493"/>
      <c r="K8" s="3493"/>
      <c r="L8" s="3493"/>
      <c r="M8" s="3493"/>
      <c r="N8" s="3493"/>
      <c r="O8" s="3493"/>
      <c r="P8" s="3493"/>
      <c r="Q8" s="3494"/>
      <c r="R8" s="1813" t="str">
        <f>结果表!O41</f>
        <v>——</v>
      </c>
    </row>
    <row r="9" spans="1:18">
      <c r="A9" s="1814" t="s">
        <v>2045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496" t="s">
        <v>2069</v>
      </c>
      <c r="B1" s="3496"/>
      <c r="C1" s="3496"/>
      <c r="D1" s="3496"/>
    </row>
    <row r="2" spans="1:4" ht="47.25" customHeight="1">
      <c r="A2" s="3497" t="str">
        <f>"1.权利限制："&amp;项目基本情况!L24&amp;"未设定租赁等其他他项权利。"</f>
        <v>1.权利限制：根据估价对象《不动产权证书》原件、《国有土地使用权》复印件，截至估价期日，估价对象抵押权未见登记。未设定租赁等其他他项权利。</v>
      </c>
      <c r="B2" s="3497"/>
      <c r="C2" s="3497"/>
      <c r="D2" s="3497"/>
    </row>
    <row r="3" spans="1:4" ht="48" customHeight="1">
      <c r="A3" s="34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96"/>
      <c r="C3" s="3496"/>
      <c r="D3" s="3496"/>
    </row>
    <row r="4" spans="1:4" ht="36.75" customHeight="1">
      <c r="A4" s="3496" t="str">
        <f>"3.估价规划限制条件：详见"&amp;项目基本情况!E21&amp;"。"</f>
        <v>3.估价规划限制条件：详见《建设工程规划许可证》[]、《出让合同》[]。</v>
      </c>
      <c r="B4" s="3496"/>
      <c r="C4" s="3496"/>
      <c r="D4" s="3496"/>
    </row>
    <row r="5" spans="1:4">
      <c r="A5" s="3495" t="s">
        <v>2070</v>
      </c>
      <c r="B5" s="3495"/>
      <c r="C5" s="3495"/>
      <c r="D5" s="3495"/>
    </row>
    <row r="6" spans="1:4">
      <c r="A6" s="3496" t="s">
        <v>2048</v>
      </c>
      <c r="B6" s="3496"/>
      <c r="C6" s="3496"/>
      <c r="D6" s="3496"/>
    </row>
    <row r="7" spans="1:4" ht="33" customHeight="1">
      <c r="A7" s="3496" t="s">
        <v>2582</v>
      </c>
      <c r="B7" s="3496"/>
      <c r="C7" s="3496"/>
      <c r="D7" s="3496"/>
    </row>
    <row r="8" spans="1:4" ht="32.25" customHeight="1">
      <c r="A8" s="34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96"/>
      <c r="C8" s="3496"/>
      <c r="D8" s="3496"/>
    </row>
    <row r="9" spans="1:4" ht="33.75" customHeight="1">
      <c r="A9" s="349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96"/>
      <c r="C9" s="3496"/>
      <c r="D9" s="3496"/>
    </row>
    <row r="10" spans="1:4">
      <c r="A10" s="3496" t="str">
        <f>IF(项目基本情况!B8="抵押","4.估价师所知悉的法定优先受偿款情况为：","——")</f>
        <v>4.估价师所知悉的法定优先受偿款情况为：</v>
      </c>
      <c r="B10" s="3496"/>
      <c r="C10" s="3496"/>
      <c r="D10" s="3496"/>
    </row>
    <row r="11" spans="1:4" ht="37.5" customHeight="1">
      <c r="A11" s="349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98"/>
      <c r="C11" s="3498"/>
      <c r="D11" s="3498"/>
    </row>
    <row r="12" spans="1:4" ht="168" customHeight="1">
      <c r="A12" s="3495" t="s">
        <v>2072</v>
      </c>
      <c r="B12" s="3495"/>
      <c r="C12" s="3495"/>
      <c r="D12" s="3495"/>
    </row>
    <row r="13" spans="1:4">
      <c r="A13" s="3499" t="s">
        <v>2753</v>
      </c>
      <c r="B13" s="3499"/>
      <c r="C13" s="3499"/>
      <c r="D13" s="3499"/>
    </row>
    <row r="14" spans="1:4">
      <c r="A14" s="3498" t="str">
        <f>IF(项目基本情况!B8="抵押","综上，"&amp;结果表!K47,"——")</f>
        <v>综上，本次评估不存在估价师知悉的法定优先受偿款</v>
      </c>
      <c r="B14" s="3498"/>
      <c r="C14" s="3498"/>
      <c r="D14" s="3498"/>
    </row>
    <row r="15" spans="1:4" ht="58.5" customHeight="1">
      <c r="A15" s="34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6"/>
      <c r="C15" s="3496"/>
      <c r="D15" s="3496"/>
    </row>
    <row r="16" spans="1:4" ht="70.5" customHeight="1">
      <c r="A16" s="34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6"/>
      <c r="C16" s="3496"/>
      <c r="D16" s="3496"/>
    </row>
    <row r="17" spans="1:4">
      <c r="A17" s="3496" t="s">
        <v>2709</v>
      </c>
      <c r="B17" s="3496"/>
      <c r="C17" s="3496"/>
      <c r="D17" s="3496"/>
    </row>
    <row r="18" spans="1:4">
      <c r="A18" s="3496" t="s">
        <v>2701</v>
      </c>
      <c r="B18" s="3496"/>
      <c r="C18" s="3496"/>
      <c r="D18" s="3496"/>
    </row>
    <row r="19" spans="1:4">
      <c r="A19" s="2894" t="s">
        <v>2702</v>
      </c>
      <c r="B19" s="2894" t="s">
        <v>2703</v>
      </c>
      <c r="C19" s="2894" t="s">
        <v>2704</v>
      </c>
      <c r="D19" s="2894" t="s">
        <v>2705</v>
      </c>
    </row>
    <row r="20" spans="1:4">
      <c r="A20" s="2894" t="str">
        <f>项目基本情况!B4</f>
        <v>土地估价师</v>
      </c>
      <c r="B20" s="2894">
        <f>项目基本情况!C4</f>
        <v>0</v>
      </c>
      <c r="C20" s="2896"/>
      <c r="D20" s="1801" t="s">
        <v>2710</v>
      </c>
    </row>
    <row r="21" spans="1:4">
      <c r="A21" s="2894" t="str">
        <f>项目基本情况!D4</f>
        <v>土地估价师</v>
      </c>
      <c r="B21" s="2894">
        <f>项目基本情况!E4</f>
        <v>0</v>
      </c>
      <c r="C21" s="2896"/>
      <c r="D21" s="1801" t="s">
        <v>2711</v>
      </c>
    </row>
    <row r="23" spans="1:4">
      <c r="A23" s="3496" t="s">
        <v>2706</v>
      </c>
      <c r="B23" s="3496"/>
      <c r="C23" s="3496"/>
      <c r="D23" s="3496"/>
    </row>
    <row r="24" spans="1:4">
      <c r="A24" s="2894" t="s">
        <v>2702</v>
      </c>
      <c r="B24" s="2894" t="s">
        <v>2707</v>
      </c>
      <c r="C24" s="2894" t="s">
        <v>2704</v>
      </c>
      <c r="D24" s="2894" t="s">
        <v>2705</v>
      </c>
    </row>
    <row r="25" spans="1:4">
      <c r="A25" s="2897" t="s">
        <v>2708</v>
      </c>
      <c r="B25" s="2894" t="s">
        <v>953</v>
      </c>
      <c r="C25" s="2896"/>
      <c r="D25" s="1801" t="s">
        <v>2711</v>
      </c>
    </row>
    <row r="29" spans="1:4">
      <c r="D29" s="2895" t="s">
        <v>2043</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507" t="s">
        <v>53</v>
      </c>
      <c r="B15" s="3508" t="s">
        <v>847</v>
      </c>
      <c r="C15" s="3504"/>
    </row>
    <row r="16" spans="1:7" ht="14.25">
      <c r="A16" s="3507"/>
      <c r="B16" s="3505" t="s">
        <v>54</v>
      </c>
      <c r="C16" s="1172" t="s">
        <v>53</v>
      </c>
    </row>
    <row r="17" spans="1:3" ht="14.25">
      <c r="A17" s="3507"/>
      <c r="B17" s="3505"/>
      <c r="C17" s="1172" t="s">
        <v>55</v>
      </c>
    </row>
    <row r="18" spans="1:3" ht="14.25">
      <c r="A18" s="3507"/>
      <c r="B18" s="3505"/>
      <c r="C18" s="1172" t="s">
        <v>56</v>
      </c>
    </row>
    <row r="19" spans="1:3" ht="14.25">
      <c r="A19" s="3507"/>
      <c r="B19" s="3503" t="s">
        <v>57</v>
      </c>
      <c r="C19" s="3504"/>
    </row>
    <row r="20" spans="1:3" ht="14.25">
      <c r="A20" s="1173" t="s">
        <v>58</v>
      </c>
      <c r="B20" s="1174"/>
      <c r="C20" s="1175"/>
    </row>
    <row r="21" spans="1:3" ht="14.25">
      <c r="A21" s="3506" t="s">
        <v>59</v>
      </c>
      <c r="B21" s="3503" t="s">
        <v>60</v>
      </c>
      <c r="C21" s="3504"/>
    </row>
    <row r="22" spans="1:3" ht="14.25">
      <c r="A22" s="3506"/>
      <c r="B22" s="3503" t="s">
        <v>61</v>
      </c>
      <c r="C22" s="3504"/>
    </row>
    <row r="23" spans="1:3" ht="14.25">
      <c r="A23" s="3506"/>
      <c r="B23" s="3503" t="s">
        <v>62</v>
      </c>
      <c r="C23" s="3504"/>
    </row>
    <row r="24" spans="1:3" ht="14.25">
      <c r="A24" s="3506"/>
      <c r="B24" s="3509" t="s">
        <v>63</v>
      </c>
      <c r="C24" s="1176" t="s">
        <v>838</v>
      </c>
    </row>
    <row r="25" spans="1:3" ht="14.25">
      <c r="A25" s="3506"/>
      <c r="B25" s="3510"/>
      <c r="C25" s="1176" t="s">
        <v>839</v>
      </c>
    </row>
    <row r="26" spans="1:3" ht="14.25">
      <c r="A26" s="3506"/>
      <c r="B26" s="3510"/>
      <c r="C26" s="1176" t="s">
        <v>840</v>
      </c>
    </row>
    <row r="27" spans="1:3" ht="14.25">
      <c r="A27" s="3506"/>
      <c r="B27" s="3510"/>
      <c r="C27" s="1176" t="s">
        <v>841</v>
      </c>
    </row>
    <row r="28" spans="1:3" ht="14.25">
      <c r="A28" s="3506"/>
      <c r="B28" s="3510"/>
      <c r="C28" s="1176" t="s">
        <v>842</v>
      </c>
    </row>
    <row r="29" spans="1:3" ht="14.25">
      <c r="A29" s="3506"/>
      <c r="B29" s="3510"/>
      <c r="C29" s="1176" t="s">
        <v>843</v>
      </c>
    </row>
    <row r="30" spans="1:3" ht="14.25">
      <c r="A30" s="3506"/>
      <c r="B30" s="3510"/>
      <c r="C30" s="1176" t="s">
        <v>844</v>
      </c>
    </row>
    <row r="31" spans="1:3" ht="14.25">
      <c r="A31" s="3506"/>
      <c r="B31" s="3510"/>
      <c r="C31" s="1176" t="s">
        <v>845</v>
      </c>
    </row>
    <row r="32" spans="1:3" ht="14.25">
      <c r="A32" s="3506"/>
      <c r="B32" s="3510"/>
      <c r="C32" s="1176" t="s">
        <v>1648</v>
      </c>
    </row>
    <row r="33" spans="1:3" ht="14.25">
      <c r="A33" s="3506"/>
      <c r="B33" s="3500" t="s">
        <v>1654</v>
      </c>
      <c r="C33" s="1176" t="s">
        <v>1649</v>
      </c>
    </row>
    <row r="34" spans="1:3" ht="14.25">
      <c r="A34" s="3506"/>
      <c r="B34" s="3501"/>
      <c r="C34" s="1181" t="s">
        <v>1650</v>
      </c>
    </row>
    <row r="35" spans="1:3" ht="14.25">
      <c r="A35" s="3506"/>
      <c r="B35" s="3501"/>
      <c r="C35" s="1182" t="s">
        <v>1651</v>
      </c>
    </row>
    <row r="36" spans="1:3" ht="14.25">
      <c r="A36" s="3506"/>
      <c r="B36" s="3501"/>
      <c r="C36" s="1182" t="s">
        <v>1652</v>
      </c>
    </row>
    <row r="37" spans="1:3" ht="14.25">
      <c r="A37" s="3506"/>
      <c r="B37" s="3502"/>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7">
        <f ca="1">TODAY()</f>
        <v>43166</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2">
        <v>43849</v>
      </c>
      <c r="D4" s="2344" t="s">
        <v>1916</v>
      </c>
      <c r="E4" s="2344">
        <f ca="1">IF(F4&lt;B2,"已过期",96010014)</f>
        <v>96010014</v>
      </c>
      <c r="F4" s="3033">
        <v>47118</v>
      </c>
    </row>
    <row r="5" spans="1:6" ht="20.25" customHeight="1">
      <c r="A5" s="2344" t="s">
        <v>1917</v>
      </c>
      <c r="B5" s="2344">
        <f ca="1">IF(C5&lt;B2,"已过期",1119970074)</f>
        <v>1119970074</v>
      </c>
      <c r="C5" s="3032">
        <v>43849</v>
      </c>
      <c r="D5" s="2344" t="s">
        <v>1917</v>
      </c>
      <c r="E5" s="2344">
        <f ca="1">IF(F5&lt;B2,"已过期",2002110027)</f>
        <v>2002110027</v>
      </c>
      <c r="F5" s="3033">
        <v>46752</v>
      </c>
    </row>
    <row r="6" spans="1:6" ht="20.25" customHeight="1">
      <c r="A6" s="2344" t="s">
        <v>1918</v>
      </c>
      <c r="B6" s="2344">
        <f ca="1">IF(C6&lt;B2,"已过期",1119970111)</f>
        <v>1119970111</v>
      </c>
      <c r="C6" s="3032">
        <v>43849</v>
      </c>
      <c r="D6" s="2344" t="s">
        <v>1918</v>
      </c>
      <c r="E6" s="2344">
        <f ca="1">IF(F6&lt;B2,"已过期",94010078)</f>
        <v>94010078</v>
      </c>
      <c r="F6" s="3033">
        <v>46387</v>
      </c>
    </row>
    <row r="7" spans="1:6" ht="20.25" customHeight="1">
      <c r="A7" s="2344" t="s">
        <v>1919</v>
      </c>
      <c r="B7" s="2344">
        <f ca="1">IF(C7&lt;B2,"已过期",1120050019)</f>
        <v>1120050019</v>
      </c>
      <c r="C7" s="3032">
        <v>43359</v>
      </c>
      <c r="D7" s="2344" t="s">
        <v>1919</v>
      </c>
      <c r="E7" s="2344">
        <f ca="1">IF(F7&lt;B2,"已过期",2002110030)</f>
        <v>2002110030</v>
      </c>
      <c r="F7" s="3033">
        <v>46387</v>
      </c>
    </row>
    <row r="8" spans="1:6" ht="20.25" customHeight="1">
      <c r="A8" s="2344" t="s">
        <v>1920</v>
      </c>
      <c r="B8" s="2344">
        <f ca="1">IF(C8&lt;B2,"已过期",1120000080)</f>
        <v>1120000080</v>
      </c>
      <c r="C8" s="3032">
        <v>43849</v>
      </c>
      <c r="D8" s="2344" t="s">
        <v>1920</v>
      </c>
      <c r="E8" s="2344">
        <f ca="1">IF(F8&lt;B2,"已过期",2000110082)</f>
        <v>2000110082</v>
      </c>
      <c r="F8" s="3033">
        <v>46387</v>
      </c>
    </row>
    <row r="9" spans="1:6" ht="20.25" customHeight="1">
      <c r="A9" s="2344" t="s">
        <v>1921</v>
      </c>
      <c r="B9" s="2344">
        <f ca="1">IF(C9&lt;B2,"已过期",1419970001)</f>
        <v>1419970001</v>
      </c>
      <c r="C9" s="3032">
        <v>43867</v>
      </c>
      <c r="D9" s="2344" t="s">
        <v>1921</v>
      </c>
      <c r="E9" s="2344">
        <f ca="1">IF(F9&lt;B2,"已过期",2002110125)</f>
        <v>2002110125</v>
      </c>
      <c r="F9" s="3033">
        <v>47118</v>
      </c>
    </row>
    <row r="10" spans="1:6" ht="20.25" customHeight="1">
      <c r="A10" s="2344" t="s">
        <v>1922</v>
      </c>
      <c r="B10" s="2344">
        <f ca="1">IF(C10&lt;B2,"已过期",1120060040)</f>
        <v>1120060040</v>
      </c>
      <c r="C10" s="3032">
        <v>43483</v>
      </c>
      <c r="D10" s="2344" t="s">
        <v>1922</v>
      </c>
      <c r="E10" s="2344">
        <f ca="1">IF(F10&lt;B2,"已过期",2004110096)</f>
        <v>2004110096</v>
      </c>
      <c r="F10" s="3033">
        <v>47118</v>
      </c>
    </row>
    <row r="11" spans="1:6" ht="20.25" customHeight="1">
      <c r="A11" s="2344" t="s">
        <v>1923</v>
      </c>
      <c r="B11" s="2344">
        <f ca="1">IF(C11&lt;B2,"已过期",1120100036)</f>
        <v>1120100036</v>
      </c>
      <c r="C11" s="3032">
        <v>43622</v>
      </c>
      <c r="D11" s="2344" t="s">
        <v>1923</v>
      </c>
      <c r="E11" s="2344">
        <f ca="1">IF(F11&lt;B2,"已过期",2010110070)</f>
        <v>2010110070</v>
      </c>
      <c r="F11" s="3033">
        <v>47907</v>
      </c>
    </row>
    <row r="12" spans="1:6" ht="20.25" customHeight="1">
      <c r="A12" s="2344"/>
      <c r="B12" s="2344"/>
      <c r="C12" s="3032"/>
      <c r="D12" s="2344"/>
      <c r="E12" s="2344"/>
      <c r="F12" s="2344"/>
    </row>
    <row r="13" spans="1:6" ht="20.25" customHeight="1">
      <c r="A13" s="2344" t="s">
        <v>1924</v>
      </c>
      <c r="B13" s="2344">
        <f ca="1">IF(C13&lt;B2,"已过期",1120070131)</f>
        <v>1120070131</v>
      </c>
      <c r="C13" s="3032">
        <v>43814</v>
      </c>
      <c r="D13" s="2344" t="s">
        <v>1924</v>
      </c>
      <c r="E13" s="2344">
        <v>2014110011</v>
      </c>
      <c r="F13" s="3033">
        <v>49302</v>
      </c>
    </row>
    <row r="14" spans="1:6" ht="20.25" customHeight="1">
      <c r="A14" s="2344" t="s">
        <v>1925</v>
      </c>
      <c r="B14" s="2344">
        <f ca="1">IF(C14&lt;B2,"已过期",1120130020)</f>
        <v>1120130020</v>
      </c>
      <c r="C14" s="3032">
        <v>43622</v>
      </c>
      <c r="D14" s="2344"/>
      <c r="E14" s="2344"/>
      <c r="F14" s="2344"/>
    </row>
    <row r="15" spans="1:6" ht="20.25" customHeight="1">
      <c r="A15" s="2344" t="s">
        <v>2581</v>
      </c>
      <c r="B15" s="2344">
        <v>1120070085</v>
      </c>
      <c r="C15" s="3032">
        <v>43814</v>
      </c>
      <c r="D15" s="2344" t="s">
        <v>2581</v>
      </c>
      <c r="E15" s="2344">
        <v>2004110128</v>
      </c>
      <c r="F15" s="3033">
        <v>47118</v>
      </c>
    </row>
    <row r="16" spans="1:6" ht="20.25" customHeight="1">
      <c r="A16" s="2344" t="s">
        <v>1926</v>
      </c>
      <c r="B16" s="2344">
        <f ca="1">IF(C16&lt;B2,"已过期",1120140022)</f>
        <v>1120140022</v>
      </c>
      <c r="C16" s="3032">
        <v>44029</v>
      </c>
      <c r="D16" s="2344" t="s">
        <v>1926</v>
      </c>
      <c r="E16" s="2344">
        <f ca="1">IF(F16&lt;B2,"已过期",2008110059)</f>
        <v>2008110059</v>
      </c>
      <c r="F16" s="3033">
        <v>47177</v>
      </c>
    </row>
    <row r="17" spans="1:7" ht="20.25" customHeight="1">
      <c r="A17" s="2344"/>
      <c r="B17" s="2344"/>
      <c r="C17" s="3032"/>
      <c r="D17" s="2344"/>
      <c r="E17" s="2344"/>
      <c r="F17" s="3033"/>
    </row>
    <row r="18" spans="1:7" ht="20.25" customHeight="1">
      <c r="A18" s="2344"/>
      <c r="B18" s="2344"/>
      <c r="C18" s="3032"/>
      <c r="D18" s="2344"/>
      <c r="E18" s="2344"/>
      <c r="F18" s="3033"/>
    </row>
    <row r="19" spans="1:7" ht="20.25" customHeight="1">
      <c r="A19" s="2344"/>
      <c r="B19" s="2344"/>
      <c r="C19" s="3032"/>
      <c r="D19" s="2344"/>
      <c r="E19" s="2344"/>
      <c r="F19" s="2344"/>
    </row>
    <row r="20" spans="1:7" ht="20.25" customHeight="1">
      <c r="A20" s="2344"/>
      <c r="B20" s="2344"/>
      <c r="C20" s="3032"/>
      <c r="D20" s="2344"/>
      <c r="E20" s="2344"/>
      <c r="F20" s="2344"/>
    </row>
    <row r="21" spans="1:7" ht="20.25" customHeight="1">
      <c r="A21" s="2344"/>
      <c r="B21" s="2344"/>
      <c r="C21" s="3032"/>
      <c r="D21" s="2344" t="s">
        <v>1927</v>
      </c>
      <c r="E21" s="2344">
        <f ca="1">IF(F21&lt;B2,"已过期",2011110090)</f>
        <v>2011110090</v>
      </c>
      <c r="F21" s="3033">
        <v>48302</v>
      </c>
    </row>
    <row r="22" spans="1:7" ht="20.25" customHeight="1">
      <c r="A22" s="2344" t="s">
        <v>1928</v>
      </c>
      <c r="B22" s="2344">
        <f ca="1">IF(C22&lt;B2,"已过期",1120020033)</f>
        <v>1120020033</v>
      </c>
      <c r="C22" s="3032">
        <v>43304</v>
      </c>
      <c r="D22" s="2344" t="s">
        <v>1928</v>
      </c>
      <c r="E22" s="2344">
        <f ca="1">IF(F22&lt;B2,"已过期",2000110137)</f>
        <v>2000110137</v>
      </c>
      <c r="F22" s="3033">
        <v>46387</v>
      </c>
    </row>
    <row r="23" spans="1:7" ht="20.25" customHeight="1">
      <c r="A23" s="2344" t="s">
        <v>1929</v>
      </c>
      <c r="B23" s="2344">
        <f ca="1">IF(C23&lt;B2,"已过期",1120130048)</f>
        <v>1120130048</v>
      </c>
      <c r="C23" s="3032">
        <v>43686</v>
      </c>
      <c r="D23" s="2344"/>
      <c r="E23" s="2344"/>
      <c r="F23" s="2344"/>
    </row>
    <row r="24" spans="1:7" s="2348" customFormat="1" ht="20.25" customHeight="1">
      <c r="A24" s="2346" t="s">
        <v>2057</v>
      </c>
      <c r="B24" s="2346" t="s">
        <v>2057</v>
      </c>
      <c r="C24" s="3032"/>
      <c r="D24" s="3034" t="s">
        <v>2057</v>
      </c>
      <c r="E24" s="2346" t="s">
        <v>2057</v>
      </c>
      <c r="F24" s="2347"/>
    </row>
    <row r="25" spans="1:7" ht="20.25" customHeight="1">
      <c r="A25" s="3511" t="s">
        <v>1930</v>
      </c>
      <c r="B25" s="3511"/>
      <c r="C25" s="3511"/>
      <c r="D25" s="3511"/>
      <c r="E25" s="3511"/>
      <c r="F25" s="3511"/>
      <c r="G25" s="3511"/>
    </row>
    <row r="26" spans="1:7" ht="20.25" customHeight="1">
      <c r="A26" s="3512" t="s">
        <v>1931</v>
      </c>
      <c r="B26" s="3512"/>
      <c r="C26" s="3512"/>
      <c r="D26" s="3512" t="s">
        <v>1932</v>
      </c>
      <c r="E26" s="3512"/>
      <c r="F26" s="3512"/>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2954</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128</vt:i4>
      </vt:variant>
    </vt:vector>
  </HeadingPairs>
  <TitlesOfParts>
    <vt:vector size="171"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剩余法-待开发</vt:lpstr>
      <vt:lpstr>不动产收益法</vt:lpstr>
      <vt:lpstr>Sheet2</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2018-03-07T09:42:38Z</dcterms:modified>
</cp:coreProperties>
</file>