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2" state="hidden" r:id="rId18"/>
    <sheet name="结果表" sheetId="9" r:id="rId19"/>
    <sheet name="成本法" sheetId="68" r:id="rId20"/>
    <sheet name="成本法 (元)" sheetId="69" state="hidden" r:id="rId21"/>
    <sheet name="假设开发法" sheetId="12" state="hidden" r:id="rId22"/>
    <sheet name="土地比较法-工业" sheetId="40" state="hidden" r:id="rId23"/>
    <sheet name="收益法-车库" sheetId="81" state="hidden" r:id="rId24"/>
    <sheet name="收益法" sheetId="15" r:id="rId25"/>
    <sheet name="收益法-机械车位" sheetId="83"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17">'结果表 (2)'!$A$1:$I$127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3">'收益法-车库'!$A$1:$F$43,'收益法-车库'!$H$3:$M$29,'收益法-车库'!$A$46:$F$71,'收益法-车库'!$I$46:$N$65</definedName>
    <definedName name="_xlnm.Print_Area" localSheetId="25">'收益法-机械车位'!$A$1:$F$43,'收益法-机械车位'!$H$3:$M$29,'收益法-机械车位'!$A$46:$F$71,'收益法-机械车位'!$I$46:$N$65</definedName>
    <definedName name="_xlnm.Print_Area" localSheetId="13">'数据-汇总表'!$A$1:$P$32</definedName>
    <definedName name="_xlnm.Print_Area" localSheetId="22">'土地比较法-工业'!$A$1:$K$61,'土地比较法-工业'!$A$64:$M$121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4" i="3" l="1"/>
  <c r="K14" i="3"/>
  <c r="C6" i="68" l="1"/>
  <c r="F40" i="6"/>
  <c r="C16" i="3"/>
  <c r="C17" i="3"/>
  <c r="C18" i="3"/>
  <c r="C19" i="3"/>
  <c r="C20" i="3"/>
  <c r="C21" i="3"/>
  <c r="C22" i="3"/>
  <c r="C23" i="3"/>
  <c r="C15" i="3"/>
  <c r="P74" i="83"/>
  <c r="F62" i="83"/>
  <c r="F61" i="83"/>
  <c r="K59" i="83"/>
  <c r="P61" i="83" s="1"/>
  <c r="F59" i="83"/>
  <c r="Q58" i="83"/>
  <c r="L52" i="83"/>
  <c r="Q72" i="83" s="1"/>
  <c r="Q51" i="83"/>
  <c r="J50" i="83"/>
  <c r="J51" i="83" s="1"/>
  <c r="M47" i="83"/>
  <c r="D46" i="83"/>
  <c r="F34" i="83"/>
  <c r="F33" i="83"/>
  <c r="F32" i="83"/>
  <c r="F60" i="83" s="1"/>
  <c r="F31" i="83"/>
  <c r="F28" i="83"/>
  <c r="C28" i="83" s="1"/>
  <c r="F23" i="83"/>
  <c r="F21" i="83"/>
  <c r="M20" i="83"/>
  <c r="F20" i="83"/>
  <c r="M19" i="83"/>
  <c r="M18" i="83"/>
  <c r="F18" i="83"/>
  <c r="M17" i="83"/>
  <c r="F17" i="83"/>
  <c r="F15" i="83"/>
  <c r="N6" i="1"/>
  <c r="F19" i="6"/>
  <c r="I13" i="3"/>
  <c r="D23" i="83" l="1"/>
  <c r="D22" i="83"/>
  <c r="D24" i="83"/>
  <c r="Q59" i="83"/>
  <c r="C75" i="9"/>
  <c r="C66" i="9"/>
  <c r="L52" i="15" l="1"/>
  <c r="A126" i="82" l="1"/>
  <c r="A122" i="82"/>
  <c r="A120" i="82"/>
  <c r="A118" i="82"/>
  <c r="H111" i="82"/>
  <c r="D126" i="82" s="1"/>
  <c r="D127" i="82" s="1"/>
  <c r="E111" i="82"/>
  <c r="H112" i="82" s="1"/>
  <c r="E109" i="82"/>
  <c r="A124" i="82" s="1"/>
  <c r="E107" i="82"/>
  <c r="H106" i="82"/>
  <c r="H103" i="82" s="1"/>
  <c r="D120" i="82" s="1"/>
  <c r="H105" i="82"/>
  <c r="H104" i="82"/>
  <c r="D101" i="82"/>
  <c r="C101" i="82"/>
  <c r="C91" i="82"/>
  <c r="E90" i="82"/>
  <c r="D89" i="82"/>
  <c r="C89" i="82"/>
  <c r="C87" i="82" s="1"/>
  <c r="H77" i="82"/>
  <c r="D77" i="82"/>
  <c r="C76" i="82"/>
  <c r="F59" i="82"/>
  <c r="E59" i="82"/>
  <c r="D59" i="82"/>
  <c r="N56" i="82"/>
  <c r="M56" i="82"/>
  <c r="K56" i="82"/>
  <c r="J56" i="82"/>
  <c r="F56" i="82"/>
  <c r="O55" i="82"/>
  <c r="N55" i="82"/>
  <c r="M55" i="82"/>
  <c r="K55" i="82"/>
  <c r="J55" i="82"/>
  <c r="J57" i="82" s="1"/>
  <c r="J59" i="82" s="1"/>
  <c r="J61" i="82" s="1"/>
  <c r="I55" i="82"/>
  <c r="F55" i="82"/>
  <c r="O53" i="82" s="1"/>
  <c r="O54" i="82"/>
  <c r="N54" i="82"/>
  <c r="N53" i="82"/>
  <c r="K49" i="82"/>
  <c r="E48" i="82"/>
  <c r="N52" i="82" s="1"/>
  <c r="F33" i="82"/>
  <c r="D27" i="82"/>
  <c r="C25" i="82"/>
  <c r="C24" i="82"/>
  <c r="D17" i="82"/>
  <c r="C17" i="82"/>
  <c r="L4" i="82"/>
  <c r="K4" i="82"/>
  <c r="A2" i="82"/>
  <c r="H1" i="82"/>
  <c r="C18" i="82" l="1"/>
  <c r="D18" i="82" s="1"/>
  <c r="K120" i="82"/>
  <c r="D121" i="82"/>
  <c r="C92" i="82"/>
  <c r="C94" i="82"/>
  <c r="H109" i="82"/>
  <c r="D124" i="82" l="1"/>
  <c r="D125" i="82" s="1"/>
  <c r="H110" i="82"/>
  <c r="Q72" i="81" l="1"/>
  <c r="Q59" i="81"/>
  <c r="K59" i="81"/>
  <c r="P74" i="81" s="1"/>
  <c r="F59" i="81"/>
  <c r="Q58" i="81"/>
  <c r="Q51" i="81"/>
  <c r="J50" i="81"/>
  <c r="M47" i="81"/>
  <c r="D46" i="81"/>
  <c r="F33" i="81"/>
  <c r="F61" i="81" s="1"/>
  <c r="F31" i="81"/>
  <c r="F23" i="81"/>
  <c r="D23" i="81" s="1"/>
  <c r="F21" i="81"/>
  <c r="F20" i="81"/>
  <c r="M19" i="81"/>
  <c r="F18" i="81"/>
  <c r="M17" i="81"/>
  <c r="F17" i="81"/>
  <c r="F15" i="81"/>
  <c r="D24" i="81" l="1"/>
  <c r="P61" i="81"/>
  <c r="D22" i="81"/>
  <c r="I34" i="40" l="1"/>
  <c r="G34" i="40"/>
  <c r="E34" i="40"/>
  <c r="E66" i="40"/>
  <c r="F66" i="40" s="1"/>
  <c r="G66" i="40" s="1"/>
  <c r="H66" i="40" s="1"/>
  <c r="I66" i="40" s="1"/>
  <c r="J66" i="40" s="1"/>
  <c r="K66" i="40" s="1"/>
  <c r="L66" i="40" s="1"/>
  <c r="M66" i="40" s="1"/>
  <c r="D66" i="40"/>
  <c r="I41" i="40"/>
  <c r="G41" i="40"/>
  <c r="E41" i="40"/>
  <c r="I7" i="40"/>
  <c r="G7" i="40"/>
  <c r="E7" i="40"/>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G1" i="81" s="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c r="R35" i="4"/>
  <c r="Q35" i="4"/>
  <c r="P35" i="4"/>
  <c r="O35" i="4"/>
  <c r="N35" i="4"/>
  <c r="M35" i="4"/>
  <c r="L35" i="4"/>
  <c r="K34" i="4"/>
  <c r="T34" i="4"/>
  <c r="I15" i="4"/>
  <c r="H15" i="4"/>
  <c r="G15" i="4"/>
  <c r="E15" i="4"/>
  <c r="D15" i="4"/>
  <c r="F6" i="1" s="1"/>
  <c r="G6" i="1" s="1"/>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B15" i="74"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R10" i="1"/>
  <c r="B10" i="1"/>
  <c r="E10" i="1"/>
  <c r="AZ80" i="3"/>
  <c r="AZ84" i="3"/>
  <c r="AZ88" i="3"/>
  <c r="AZ107" i="3"/>
  <c r="AZ111" i="3"/>
  <c r="K12" i="1"/>
  <c r="M12" i="1" s="1"/>
  <c r="S13" i="1"/>
  <c r="R13" i="1"/>
  <c r="S11" i="1"/>
  <c r="R11" i="1"/>
  <c r="S9" i="1"/>
  <c r="R9" i="1"/>
  <c r="C42" i="1"/>
  <c r="C77" i="82" s="1"/>
  <c r="C74" i="82" s="1"/>
  <c r="H100" i="43"/>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L17" i="3"/>
  <c r="AZ17" i="3"/>
  <c r="BL13" i="3"/>
  <c r="J56" i="9"/>
  <c r="J57" i="9" s="1"/>
  <c r="J59" i="9" s="1"/>
  <c r="J61" i="9" s="1"/>
  <c r="A24" i="51"/>
  <c r="B18" i="72" s="1"/>
  <c r="U29" i="34"/>
  <c r="E32" i="6"/>
  <c r="L19" i="6"/>
  <c r="G1" i="68"/>
  <c r="K1" i="12"/>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H63" i="37"/>
  <c r="I63" i="37"/>
  <c r="J63" i="37"/>
  <c r="K63" i="37"/>
  <c r="L63" i="37"/>
  <c r="M63" i="37"/>
  <c r="J11" i="37"/>
  <c r="W11" i="37" s="1"/>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4"/>
  <c r="AC11" i="34"/>
  <c r="F34" i="11"/>
  <c r="F11" i="12"/>
  <c r="AG6" i="1"/>
  <c r="H112" i="9"/>
  <c r="D21" i="53" s="1"/>
  <c r="B39"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F34" i="68"/>
  <c r="E12" i="76"/>
  <c r="F8" i="15"/>
  <c r="D2" i="37"/>
  <c r="M6" i="67"/>
  <c r="F13" i="67"/>
  <c r="B7" i="76"/>
  <c r="M23" i="15"/>
  <c r="J15" i="15"/>
  <c r="F26" i="67"/>
  <c r="M28" i="15"/>
  <c r="M22" i="81"/>
  <c r="L48" i="81"/>
  <c r="F6" i="73"/>
  <c r="M27" i="15"/>
  <c r="F9" i="15"/>
  <c r="M22" i="15"/>
  <c r="F43" i="81"/>
  <c r="B10" i="76"/>
  <c r="F6" i="15"/>
  <c r="F43" i="15"/>
  <c r="F9" i="81"/>
  <c r="D7" i="73"/>
  <c r="F7" i="67"/>
  <c r="D2" i="21"/>
  <c r="M29" i="67"/>
  <c r="F26" i="81"/>
  <c r="B12" i="76"/>
  <c r="M9" i="15"/>
  <c r="M8" i="67"/>
  <c r="M23" i="67"/>
  <c r="M26" i="15"/>
  <c r="M6" i="81"/>
  <c r="M26" i="67"/>
  <c r="M22" i="67"/>
  <c r="M8" i="81"/>
  <c r="D3" i="73"/>
  <c r="F26" i="15"/>
  <c r="AO12" i="1"/>
  <c r="F37" i="81"/>
  <c r="L47" i="67"/>
  <c r="F8" i="67"/>
  <c r="F13" i="15"/>
  <c r="F37" i="67"/>
  <c r="F38" i="15"/>
  <c r="D2" i="35"/>
  <c r="AO9" i="1"/>
  <c r="M29" i="81"/>
  <c r="E2" i="68"/>
  <c r="M27" i="81"/>
  <c r="F5" i="73"/>
  <c r="B8" i="76"/>
  <c r="M28" i="67"/>
  <c r="M29" i="15"/>
  <c r="F7" i="73"/>
  <c r="F42" i="67"/>
  <c r="F6" i="81"/>
  <c r="M27" i="67"/>
  <c r="E9" i="76"/>
  <c r="F16" i="81"/>
  <c r="F40" i="81"/>
  <c r="D5" i="73"/>
  <c r="D2" i="33"/>
  <c r="F7" i="15"/>
  <c r="AO11" i="1"/>
  <c r="M24" i="67"/>
  <c r="E13" i="76"/>
  <c r="M28" i="81"/>
  <c r="C76" i="15"/>
  <c r="J15" i="81"/>
  <c r="F4" i="73"/>
  <c r="F7" i="81"/>
  <c r="F43" i="67"/>
  <c r="F9" i="67"/>
  <c r="E10" i="76"/>
  <c r="D2" i="36"/>
  <c r="F3" i="73"/>
  <c r="F20" i="31"/>
  <c r="F13" i="81"/>
  <c r="F42" i="81"/>
  <c r="D2" i="34"/>
  <c r="F40" i="67"/>
  <c r="F6" i="67"/>
  <c r="B13" i="76"/>
  <c r="F36" i="81"/>
  <c r="M9" i="67"/>
  <c r="F37" i="15"/>
  <c r="F40" i="15"/>
  <c r="E7" i="76"/>
  <c r="E11" i="76"/>
  <c r="F8" i="81"/>
  <c r="M9" i="81"/>
  <c r="L47" i="15"/>
  <c r="F16" i="15"/>
  <c r="B11" i="76"/>
  <c r="AO13" i="1"/>
  <c r="L47" i="81"/>
  <c r="F16" i="67"/>
  <c r="C76" i="81"/>
  <c r="L48" i="67"/>
  <c r="F36" i="67"/>
  <c r="M23" i="81"/>
  <c r="F42" i="15"/>
  <c r="B9" i="76"/>
  <c r="M24" i="15"/>
  <c r="D6" i="73"/>
  <c r="M26" i="81"/>
  <c r="M8" i="15"/>
  <c r="M24" i="81"/>
  <c r="D4" i="73"/>
  <c r="AO10" i="1"/>
  <c r="M6" i="15"/>
  <c r="C76" i="67"/>
  <c r="E8" i="76"/>
  <c r="E2" i="69"/>
  <c r="F36" i="15"/>
  <c r="F38" i="81"/>
  <c r="J15" i="67"/>
  <c r="L48" i="15"/>
  <c r="F38" i="67"/>
  <c r="B7" i="1" l="1"/>
  <c r="E7" i="1" s="1"/>
  <c r="G1" i="83"/>
  <c r="M8" i="1"/>
  <c r="P74" i="67"/>
  <c r="K5" i="4"/>
  <c r="B47" i="48" s="1"/>
  <c r="D23" i="15"/>
  <c r="C5" i="11"/>
  <c r="M20" i="15"/>
  <c r="F34" i="81"/>
  <c r="F62" i="81" s="1"/>
  <c r="M20" i="81"/>
  <c r="F48" i="9"/>
  <c r="O52" i="9" s="1"/>
  <c r="D68" i="82"/>
  <c r="F54" i="82"/>
  <c r="F53" i="82"/>
  <c r="F52" i="82"/>
  <c r="F48" i="82"/>
  <c r="O52" i="82" s="1"/>
  <c r="F28" i="81"/>
  <c r="F32" i="81"/>
  <c r="F60" i="81" s="1"/>
  <c r="M18" i="81"/>
  <c r="D78" i="9"/>
  <c r="D78" i="82"/>
  <c r="D93" i="82"/>
  <c r="C40" i="69"/>
  <c r="I4" i="6"/>
  <c r="G3" i="43" s="1"/>
  <c r="G101" i="43" s="1"/>
  <c r="G11" i="1"/>
  <c r="G9" i="1"/>
  <c r="C18" i="9"/>
  <c r="D18" i="9" s="1"/>
  <c r="J51" i="81"/>
  <c r="M47" i="82"/>
  <c r="C23" i="12"/>
  <c r="G13" i="1"/>
  <c r="F65" i="81"/>
  <c r="Q71" i="81"/>
  <c r="F66" i="81"/>
  <c r="F68" i="81"/>
  <c r="C27" i="81"/>
  <c r="F51" i="81"/>
  <c r="F64" i="81"/>
  <c r="C36" i="69"/>
  <c r="F71" i="81"/>
  <c r="F50" i="81"/>
  <c r="M7" i="81"/>
  <c r="J6" i="81" s="1"/>
  <c r="J18" i="81" s="1"/>
  <c r="C6" i="81"/>
  <c r="C32" i="81" s="1"/>
  <c r="W33" i="37"/>
  <c r="U11" i="37"/>
  <c r="L56" i="81"/>
  <c r="L58" i="81"/>
  <c r="L57" i="81"/>
  <c r="L60" i="81"/>
  <c r="C28" i="81"/>
  <c r="C33" i="81"/>
  <c r="L59" i="81"/>
  <c r="M59" i="81"/>
  <c r="J60" i="81"/>
  <c r="Q48" i="81" s="1"/>
  <c r="J59" i="81"/>
  <c r="J53" i="81"/>
  <c r="N59" i="81"/>
  <c r="I54" i="81"/>
  <c r="J57" i="81"/>
  <c r="J55" i="81" s="1"/>
  <c r="J58" i="81" s="1"/>
  <c r="Q50" i="81" s="1"/>
  <c r="G7" i="1"/>
  <c r="J51" i="15"/>
  <c r="J53" i="15" s="1"/>
  <c r="L56" i="15" s="1"/>
  <c r="P61" i="15"/>
  <c r="C20" i="43"/>
  <c r="G28" i="6"/>
  <c r="Q16" i="1"/>
  <c r="F27" i="69" s="1"/>
  <c r="F45" i="69" s="1"/>
  <c r="M6" i="1"/>
  <c r="O6" i="1" s="1"/>
  <c r="BA13" i="3"/>
  <c r="AZ13" i="3" s="1"/>
  <c r="BL15" i="3"/>
  <c r="BL5" i="3" s="1"/>
  <c r="AC11" i="40"/>
  <c r="C92" i="9"/>
  <c r="C94" i="9"/>
  <c r="F28" i="15"/>
  <c r="C28" i="15" s="1"/>
  <c r="F31" i="12"/>
  <c r="D68" i="9"/>
  <c r="M18" i="67"/>
  <c r="F30" i="68"/>
  <c r="C30" i="68" s="1"/>
  <c r="C31" i="12"/>
  <c r="C24" i="12"/>
  <c r="C77" i="9"/>
  <c r="C74" i="9" s="1"/>
  <c r="F54" i="9"/>
  <c r="M18" i="15"/>
  <c r="F32" i="15"/>
  <c r="F60" i="15" s="1"/>
  <c r="F30" i="69"/>
  <c r="F32" i="67"/>
  <c r="F60" i="67" s="1"/>
  <c r="F52" i="9"/>
  <c r="F28" i="67"/>
  <c r="C28" i="67" s="1"/>
  <c r="F30" i="11"/>
  <c r="F53" i="9"/>
  <c r="C21" i="68"/>
  <c r="C21" i="69"/>
  <c r="D22" i="67"/>
  <c r="M7" i="1"/>
  <c r="BA14" i="3"/>
  <c r="AZ14" i="3" s="1"/>
  <c r="BJ5" i="3"/>
  <c r="BF5" i="3"/>
  <c r="BN5" i="3"/>
  <c r="G29" i="6" s="1"/>
  <c r="G30" i="6" s="1"/>
  <c r="G31" i="6" s="1"/>
  <c r="BM5" i="3"/>
  <c r="F29" i="6" s="1"/>
  <c r="BS5" i="3"/>
  <c r="F28" i="6" s="1"/>
  <c r="L27" i="6"/>
  <c r="H16" i="1"/>
  <c r="G5" i="3"/>
  <c r="B3" i="3" s="1"/>
  <c r="E545" i="3" s="1"/>
  <c r="E179" i="3"/>
  <c r="AR9" i="1"/>
  <c r="T9" i="1"/>
  <c r="AQ9" i="1"/>
  <c r="AQ11" i="1"/>
  <c r="AR11" i="1"/>
  <c r="T11" i="1"/>
  <c r="AR13" i="1"/>
  <c r="AQ13" i="1"/>
  <c r="T13" i="1"/>
  <c r="AQ10" i="1"/>
  <c r="AR10" i="1"/>
  <c r="T10" i="1"/>
  <c r="AQ12" i="1"/>
  <c r="AR12" i="1"/>
  <c r="BA15" i="3"/>
  <c r="BB5" i="3"/>
  <c r="I6" i="3"/>
  <c r="O12" i="1"/>
  <c r="P12" i="1" s="1"/>
  <c r="O9" i="1"/>
  <c r="P9" i="1" s="1"/>
  <c r="O8" i="1"/>
  <c r="P8" i="1" s="1"/>
  <c r="P6" i="1"/>
  <c r="C13" i="12" s="1"/>
  <c r="C36" i="11"/>
  <c r="P7" i="1"/>
  <c r="B113" i="43"/>
  <c r="C101" i="43"/>
  <c r="N104" i="46"/>
  <c r="H101" i="43"/>
  <c r="F22" i="43"/>
  <c r="F101" i="43"/>
  <c r="E22" i="43"/>
  <c r="D101" i="43"/>
  <c r="I101" i="43"/>
  <c r="AJ11" i="43"/>
  <c r="AJ13" i="43" s="1"/>
  <c r="AF11" i="43"/>
  <c r="AF13" i="43" s="1"/>
  <c r="AB11" i="43"/>
  <c r="AB13" i="43" s="1"/>
  <c r="Z7" i="43"/>
  <c r="AG11" i="43"/>
  <c r="AG13" i="43" s="1"/>
  <c r="AC11" i="43"/>
  <c r="AC13" i="43" s="1"/>
  <c r="Y11" i="43"/>
  <c r="Y13" i="43" s="1"/>
  <c r="H111" i="9"/>
  <c r="H109" i="9"/>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7" i="15"/>
  <c r="J55" i="15" s="1"/>
  <c r="J58" i="15" s="1"/>
  <c r="Q50" i="15" s="1"/>
  <c r="K1" i="73"/>
  <c r="B20" i="31"/>
  <c r="B21" i="31" s="1"/>
  <c r="I1" i="73"/>
  <c r="B39" i="1" s="1"/>
  <c r="F51" i="67"/>
  <c r="F65" i="67"/>
  <c r="B12" i="70"/>
  <c r="J53" i="67"/>
  <c r="J57" i="67"/>
  <c r="J55" i="67" s="1"/>
  <c r="J58" i="67" s="1"/>
  <c r="Q50" i="67" s="1"/>
  <c r="L56" i="67"/>
  <c r="I54" i="67"/>
  <c r="M7" i="15"/>
  <c r="J6" i="15" s="1"/>
  <c r="F50" i="15"/>
  <c r="F51" i="15"/>
  <c r="F71" i="15"/>
  <c r="C6" i="15"/>
  <c r="F66" i="67"/>
  <c r="B11" i="70"/>
  <c r="N59" i="15"/>
  <c r="L58" i="15"/>
  <c r="M59" i="15"/>
  <c r="F66" i="15"/>
  <c r="Q71" i="67"/>
  <c r="F64" i="15"/>
  <c r="F70" i="67"/>
  <c r="C27" i="67"/>
  <c r="F71" i="67"/>
  <c r="C27" i="15"/>
  <c r="F65" i="15"/>
  <c r="B9" i="70"/>
  <c r="N59" i="67"/>
  <c r="L59" i="67"/>
  <c r="L58" i="67"/>
  <c r="M59" i="67"/>
  <c r="B13" i="70"/>
  <c r="M7" i="67"/>
  <c r="J6" i="67" s="1"/>
  <c r="F50" i="67"/>
  <c r="F68" i="67"/>
  <c r="F64" i="67"/>
  <c r="F68" i="15"/>
  <c r="F27" i="68"/>
  <c r="C36" i="68"/>
  <c r="F43" i="83"/>
  <c r="M9" i="83"/>
  <c r="F13" i="83"/>
  <c r="F9" i="83"/>
  <c r="L47" i="83"/>
  <c r="J15" i="83"/>
  <c r="F8" i="83"/>
  <c r="L48" i="83"/>
  <c r="F6" i="83"/>
  <c r="F7" i="83"/>
  <c r="F42" i="83"/>
  <c r="F16" i="83"/>
  <c r="M24" i="83"/>
  <c r="C76" i="83"/>
  <c r="C16" i="15"/>
  <c r="C16" i="67"/>
  <c r="M29" i="83"/>
  <c r="M23" i="83"/>
  <c r="M27" i="83"/>
  <c r="M28" i="83"/>
  <c r="F37" i="83"/>
  <c r="F26" i="83"/>
  <c r="F40" i="83"/>
  <c r="F38" i="83"/>
  <c r="M6" i="83"/>
  <c r="M22" i="83"/>
  <c r="M26" i="83"/>
  <c r="M8" i="83"/>
  <c r="F36" i="83"/>
  <c r="G1" i="73"/>
  <c r="C16" i="81"/>
  <c r="Q71" i="83" l="1"/>
  <c r="F64" i="83"/>
  <c r="M7" i="83"/>
  <c r="J6" i="83" s="1"/>
  <c r="J18" i="83" s="1"/>
  <c r="F50" i="83"/>
  <c r="C6" i="83"/>
  <c r="F66" i="83"/>
  <c r="L56" i="83"/>
  <c r="J57" i="83"/>
  <c r="J55" i="83" s="1"/>
  <c r="J58" i="83" s="1"/>
  <c r="Q50" i="83" s="1"/>
  <c r="I54" i="83"/>
  <c r="L57" i="83"/>
  <c r="J53" i="83"/>
  <c r="J60" i="83"/>
  <c r="Q48" i="83" s="1"/>
  <c r="L60" i="83"/>
  <c r="J59" i="83"/>
  <c r="L46" i="83"/>
  <c r="F68" i="83"/>
  <c r="F51" i="83"/>
  <c r="C27" i="83"/>
  <c r="F65" i="83"/>
  <c r="L59" i="83"/>
  <c r="N59" i="83"/>
  <c r="L58" i="83"/>
  <c r="M59" i="83"/>
  <c r="F71" i="83"/>
  <c r="E503" i="3"/>
  <c r="E158" i="3"/>
  <c r="L59" i="15"/>
  <c r="Q74" i="15" s="1"/>
  <c r="I54" i="15"/>
  <c r="F11" i="83"/>
  <c r="M11" i="83"/>
  <c r="J22" i="43"/>
  <c r="AA11" i="43"/>
  <c r="AA13" i="43" s="1"/>
  <c r="AE11" i="43"/>
  <c r="AE13" i="43" s="1"/>
  <c r="AI11" i="43"/>
  <c r="AI13" i="43" s="1"/>
  <c r="Z11" i="43"/>
  <c r="Z13" i="43" s="1"/>
  <c r="AD11" i="43"/>
  <c r="AD13" i="43" s="1"/>
  <c r="AH11" i="43"/>
  <c r="AH13" i="43" s="1"/>
  <c r="E101" i="43"/>
  <c r="E107" i="43" s="1"/>
  <c r="M101" i="43"/>
  <c r="M104" i="43" s="1"/>
  <c r="H22" i="43"/>
  <c r="N101" i="43"/>
  <c r="N105" i="43" s="1"/>
  <c r="K101" i="43"/>
  <c r="K102" i="43" s="1"/>
  <c r="G22" i="43"/>
  <c r="L101" i="43"/>
  <c r="L109" i="43" s="1"/>
  <c r="J101" i="43"/>
  <c r="J102" i="43" s="1"/>
  <c r="E368" i="3"/>
  <c r="E337" i="3"/>
  <c r="E261" i="3"/>
  <c r="E37" i="3"/>
  <c r="E200" i="3"/>
  <c r="E76" i="3"/>
  <c r="E126" i="3"/>
  <c r="E549" i="3"/>
  <c r="E397" i="3"/>
  <c r="E555" i="3"/>
  <c r="E183" i="3"/>
  <c r="E554" i="3"/>
  <c r="E307" i="3"/>
  <c r="E566" i="3"/>
  <c r="E324" i="3"/>
  <c r="E356" i="3"/>
  <c r="E453" i="3"/>
  <c r="E536" i="3"/>
  <c r="E568" i="3"/>
  <c r="E143" i="3"/>
  <c r="E410" i="3"/>
  <c r="E388" i="3"/>
  <c r="E361" i="3"/>
  <c r="E528" i="3"/>
  <c r="E23" i="3"/>
  <c r="E68" i="3"/>
  <c r="E349" i="3"/>
  <c r="E254" i="3"/>
  <c r="E127" i="3"/>
  <c r="E98" i="3"/>
  <c r="E240" i="3"/>
  <c r="E294" i="3"/>
  <c r="E206" i="3"/>
  <c r="E455" i="3"/>
  <c r="E548" i="3"/>
  <c r="E408" i="3"/>
  <c r="E306" i="3"/>
  <c r="E434" i="3"/>
  <c r="AK6" i="3"/>
  <c r="E16" i="3"/>
  <c r="E511" i="3"/>
  <c r="E314" i="3"/>
  <c r="E97" i="3"/>
  <c r="E285" i="3"/>
  <c r="E359" i="3"/>
  <c r="E574" i="3"/>
  <c r="O6" i="3"/>
  <c r="E302" i="3"/>
  <c r="E17" i="3"/>
  <c r="E213" i="3"/>
  <c r="E565" i="3"/>
  <c r="E304" i="3"/>
  <c r="E237" i="3"/>
  <c r="E502" i="3"/>
  <c r="E441" i="3"/>
  <c r="E513" i="3"/>
  <c r="E21" i="3"/>
  <c r="E84" i="3"/>
  <c r="E484" i="3"/>
  <c r="E95" i="3"/>
  <c r="E442" i="3"/>
  <c r="E82" i="3"/>
  <c r="Y6" i="3"/>
  <c r="E66" i="3"/>
  <c r="E163" i="3"/>
  <c r="E462" i="3"/>
  <c r="E378" i="3"/>
  <c r="E90" i="3"/>
  <c r="E552" i="3"/>
  <c r="E22" i="3"/>
  <c r="AF6" i="3"/>
  <c r="E35" i="3"/>
  <c r="E174" i="3"/>
  <c r="AM6" i="3"/>
  <c r="E403" i="3"/>
  <c r="E277" i="3"/>
  <c r="E115" i="3"/>
  <c r="N6"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230" i="3"/>
  <c r="AP6" i="3"/>
  <c r="E363" i="3"/>
  <c r="E142" i="3"/>
  <c r="E381" i="3"/>
  <c r="E264" i="3"/>
  <c r="E184" i="3"/>
  <c r="E371" i="3"/>
  <c r="E46" i="3"/>
  <c r="E109" i="3"/>
  <c r="E258" i="3"/>
  <c r="E417" i="3"/>
  <c r="E449" i="3"/>
  <c r="E575" i="3"/>
  <c r="E399" i="3"/>
  <c r="E323" i="3"/>
  <c r="E19" i="3"/>
  <c r="E284" i="3"/>
  <c r="E48" i="3"/>
  <c r="E354" i="3"/>
  <c r="E209" i="3"/>
  <c r="E138" i="3"/>
  <c r="E446" i="3"/>
  <c r="E59" i="3"/>
  <c r="E504" i="3"/>
  <c r="E259" i="3"/>
  <c r="E187" i="3"/>
  <c r="E460" i="3"/>
  <c r="E398" i="3"/>
  <c r="E193" i="3"/>
  <c r="AJ6" i="3"/>
  <c r="E308" i="3"/>
  <c r="E80" i="3"/>
  <c r="E251" i="3"/>
  <c r="E34" i="3"/>
  <c r="E342" i="3"/>
  <c r="E275" i="3"/>
  <c r="E129" i="3"/>
  <c r="E75" i="3"/>
  <c r="E291" i="3"/>
  <c r="E71" i="3"/>
  <c r="E367" i="3"/>
  <c r="U6" i="3"/>
  <c r="E538" i="3"/>
  <c r="E281" i="3"/>
  <c r="E470" i="3"/>
  <c r="E369" i="3"/>
  <c r="E159" i="3"/>
  <c r="E29" i="6"/>
  <c r="K15" i="1" s="1"/>
  <c r="C49" i="81"/>
  <c r="E286" i="3"/>
  <c r="E430" i="3"/>
  <c r="E491" i="3"/>
  <c r="E192" i="3"/>
  <c r="E44" i="3"/>
  <c r="E64" i="3"/>
  <c r="E300" i="3"/>
  <c r="E144" i="3"/>
  <c r="E118" i="3"/>
  <c r="E309" i="3"/>
  <c r="E81" i="3"/>
  <c r="E355" i="3"/>
  <c r="E33" i="3"/>
  <c r="E492" i="3"/>
  <c r="E249" i="3"/>
  <c r="E160" i="3"/>
  <c r="E467" i="3"/>
  <c r="E480" i="3"/>
  <c r="E544" i="3"/>
  <c r="E292" i="3"/>
  <c r="E132" i="3"/>
  <c r="E56" i="3"/>
  <c r="E435" i="3"/>
  <c r="I3" i="6"/>
  <c r="E541" i="3"/>
  <c r="R6" i="3"/>
  <c r="E224" i="3"/>
  <c r="E439" i="3"/>
  <c r="E268" i="3"/>
  <c r="E373" i="3"/>
  <c r="E222" i="3"/>
  <c r="E154" i="3"/>
  <c r="E51" i="3"/>
  <c r="E341" i="3"/>
  <c r="E250" i="3"/>
  <c r="E87" i="3"/>
  <c r="E24" i="3"/>
  <c r="E584" i="3"/>
  <c r="E386" i="3"/>
  <c r="E266" i="3"/>
  <c r="E248" i="3"/>
  <c r="E195" i="3"/>
  <c r="E65" i="3"/>
  <c r="E47" i="3"/>
  <c r="E521" i="3"/>
  <c r="E540" i="3"/>
  <c r="E110" i="3"/>
  <c r="E58" i="3"/>
  <c r="E375" i="3"/>
  <c r="E348" i="3"/>
  <c r="E297" i="3"/>
  <c r="E155" i="3"/>
  <c r="E131" i="3"/>
  <c r="E436" i="3"/>
  <c r="E582" i="3"/>
  <c r="E459" i="3"/>
  <c r="E464" i="3"/>
  <c r="AD6" i="3"/>
  <c r="E221" i="3"/>
  <c r="E124" i="3"/>
  <c r="E83" i="3"/>
  <c r="E326" i="3"/>
  <c r="E287" i="3"/>
  <c r="E113" i="3"/>
  <c r="E102" i="3"/>
  <c r="E370" i="3"/>
  <c r="E232" i="3"/>
  <c r="E49" i="3"/>
  <c r="E86" i="3"/>
  <c r="E522" i="3"/>
  <c r="E383" i="3"/>
  <c r="E235" i="3"/>
  <c r="E220" i="3"/>
  <c r="E190" i="3"/>
  <c r="E38" i="3"/>
  <c r="E473" i="3"/>
  <c r="E93" i="3"/>
  <c r="E317" i="3"/>
  <c r="E272" i="3"/>
  <c r="E92" i="3"/>
  <c r="E546" i="3"/>
  <c r="E547" i="3"/>
  <c r="E432" i="3"/>
  <c r="E411" i="3"/>
  <c r="E379" i="3"/>
  <c r="E134" i="3"/>
  <c r="E42" i="3"/>
  <c r="E332" i="3"/>
  <c r="E139" i="3"/>
  <c r="E104" i="3"/>
  <c r="E497" i="3"/>
  <c r="E405" i="3"/>
  <c r="E169" i="3"/>
  <c r="E77" i="3"/>
  <c r="E310" i="3"/>
  <c r="V6" i="3"/>
  <c r="E228" i="3"/>
  <c r="E199" i="3"/>
  <c r="E523" i="3"/>
  <c r="E85" i="3"/>
  <c r="E534" i="3"/>
  <c r="E469" i="3"/>
  <c r="E360" i="3"/>
  <c r="E494" i="3"/>
  <c r="E26" i="3"/>
  <c r="E41" i="3"/>
  <c r="E198" i="3"/>
  <c r="E225" i="3"/>
  <c r="E243" i="3"/>
  <c r="E391" i="3"/>
  <c r="AL6" i="3"/>
  <c r="E280" i="3"/>
  <c r="E215" i="3"/>
  <c r="E180" i="3"/>
  <c r="E133" i="3"/>
  <c r="E585" i="3"/>
  <c r="E515" i="3"/>
  <c r="E478" i="3"/>
  <c r="E414" i="3"/>
  <c r="E477" i="3"/>
  <c r="E505" i="3"/>
  <c r="AS6" i="3"/>
  <c r="E476" i="3"/>
  <c r="E447" i="3"/>
  <c r="E27" i="3"/>
  <c r="E162" i="3"/>
  <c r="E186" i="3"/>
  <c r="E210" i="3"/>
  <c r="E331" i="3"/>
  <c r="E384" i="3"/>
  <c r="E74" i="3"/>
  <c r="E32" i="3"/>
  <c r="E409" i="3"/>
  <c r="E15" i="3"/>
  <c r="E79"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7" i="3"/>
  <c r="E347" i="3"/>
  <c r="E561" i="3"/>
  <c r="E130" i="3"/>
  <c r="E45" i="3"/>
  <c r="E312" i="3"/>
  <c r="E542" i="3"/>
  <c r="E421" i="3"/>
  <c r="E487" i="3"/>
  <c r="E416" i="3"/>
  <c r="E374" i="3"/>
  <c r="E500" i="3"/>
  <c r="E413" i="3"/>
  <c r="E520" i="3"/>
  <c r="E39" i="3"/>
  <c r="E57" i="3"/>
  <c r="E13" i="6"/>
  <c r="E5" i="6"/>
  <c r="D9" i="68" s="1"/>
  <c r="O7" i="1"/>
  <c r="C29" i="68"/>
  <c r="D27" i="68" s="1"/>
  <c r="C47" i="69"/>
  <c r="D45" i="69" s="1"/>
  <c r="F7" i="34"/>
  <c r="Q52" i="81"/>
  <c r="F1" i="81"/>
  <c r="Q61" i="81"/>
  <c r="Q74" i="81"/>
  <c r="Q66" i="81"/>
  <c r="Q57" i="81"/>
  <c r="Q60" i="81"/>
  <c r="Q73" i="81"/>
  <c r="L46" i="81"/>
  <c r="F11" i="81"/>
  <c r="M11" i="81"/>
  <c r="J10" i="81" s="1"/>
  <c r="J5" i="81" s="1"/>
  <c r="C29" i="69"/>
  <c r="D27" i="69" s="1"/>
  <c r="E466" i="3"/>
  <c r="E63" i="3"/>
  <c r="E343" i="3"/>
  <c r="E128" i="3"/>
  <c r="E244" i="3"/>
  <c r="E99" i="3"/>
  <c r="E157" i="3"/>
  <c r="E253" i="3"/>
  <c r="E125" i="3"/>
  <c r="E246" i="3"/>
  <c r="E321" i="3"/>
  <c r="E290" i="3"/>
  <c r="E116" i="3"/>
  <c r="E525" i="3"/>
  <c r="T6" i="3"/>
  <c r="E456" i="3"/>
  <c r="E512" i="3"/>
  <c r="E451" i="3"/>
  <c r="E556" i="3"/>
  <c r="E13" i="3"/>
  <c r="E452" i="3"/>
  <c r="E420" i="3"/>
  <c r="E40" i="3"/>
  <c r="E25" i="3"/>
  <c r="E108" i="3"/>
  <c r="E178" i="3"/>
  <c r="E119" i="3"/>
  <c r="E202" i="3"/>
  <c r="E242" i="3"/>
  <c r="E226" i="3"/>
  <c r="E276" i="3"/>
  <c r="E346" i="3"/>
  <c r="E333" i="3"/>
  <c r="E372" i="3"/>
  <c r="L6" i="3"/>
  <c r="E322" i="3"/>
  <c r="AR6" i="3"/>
  <c r="E380" i="3"/>
  <c r="E189" i="3"/>
  <c r="E91" i="3"/>
  <c r="E120" i="3"/>
  <c r="E177"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60" i="3"/>
  <c r="E94" i="3"/>
  <c r="E43" i="3"/>
  <c r="E488" i="3"/>
  <c r="E428" i="3"/>
  <c r="E482" i="3"/>
  <c r="E412" i="3"/>
  <c r="E18" i="3"/>
  <c r="E96" i="3"/>
  <c r="E78" i="3"/>
  <c r="F27" i="11"/>
  <c r="C47" i="11" s="1"/>
  <c r="D45" i="11" s="1"/>
  <c r="F28" i="12"/>
  <c r="C29" i="12" s="1"/>
  <c r="D28" i="12" s="1"/>
  <c r="F48" i="68"/>
  <c r="C48" i="68"/>
  <c r="C48" i="11"/>
  <c r="C30" i="11"/>
  <c r="F48" i="69"/>
  <c r="C48" i="69"/>
  <c r="C30" i="69"/>
  <c r="F30" i="6"/>
  <c r="E28" i="6"/>
  <c r="K14" i="1" s="1"/>
  <c r="C47" i="68"/>
  <c r="D45" i="68" s="1"/>
  <c r="F45" i="68"/>
  <c r="E270" i="3"/>
  <c r="AA6" i="3"/>
  <c r="E526"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63" i="3"/>
  <c r="E401" i="3"/>
  <c r="E483" i="3"/>
  <c r="E419" i="3"/>
  <c r="E498" i="3"/>
  <c r="J6" i="3"/>
  <c r="AH6" i="3"/>
  <c r="E376" i="3"/>
  <c r="E490" i="3"/>
  <c r="E440" i="3"/>
  <c r="E422" i="3"/>
  <c r="E507" i="3"/>
  <c r="E486" i="3"/>
  <c r="E427" i="3"/>
  <c r="E543" i="3"/>
  <c r="E564" i="3"/>
  <c r="E493" i="3"/>
  <c r="E393" i="3"/>
  <c r="E105" i="3"/>
  <c r="E238" i="3"/>
  <c r="E117" i="3"/>
  <c r="E61" i="3"/>
  <c r="E298" i="3"/>
  <c r="E418" i="3"/>
  <c r="E390" i="3"/>
  <c r="X6" i="3"/>
  <c r="E553" i="3"/>
  <c r="E141" i="3"/>
  <c r="E167" i="3"/>
  <c r="E212" i="3"/>
  <c r="E149" i="3"/>
  <c r="E181" i="3"/>
  <c r="E188" i="3"/>
  <c r="E191" i="3"/>
  <c r="E245" i="3"/>
  <c r="E320" i="3"/>
  <c r="E559" i="3"/>
  <c r="E352" i="3"/>
  <c r="E508" i="3"/>
  <c r="E175" i="3"/>
  <c r="E479" i="3"/>
  <c r="E389" i="3"/>
  <c r="E12" i="6"/>
  <c r="E61" i="39" s="1"/>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73" i="3"/>
  <c r="E197" i="3"/>
  <c r="E223" i="3"/>
  <c r="E140" i="3"/>
  <c r="E161" i="3"/>
  <c r="E135" i="3"/>
  <c r="E185" i="3"/>
  <c r="E216" i="3"/>
  <c r="E231" i="3"/>
  <c r="E338" i="3"/>
  <c r="E506" i="3"/>
  <c r="S6" i="3"/>
  <c r="H6" i="3" s="1"/>
  <c r="E293" i="3"/>
  <c r="E336" i="3"/>
  <c r="E583" i="3"/>
  <c r="E282" i="3"/>
  <c r="E366" i="3"/>
  <c r="E107" i="3"/>
  <c r="E164" i="3"/>
  <c r="E145" i="3"/>
  <c r="E204" i="3"/>
  <c r="E271" i="3"/>
  <c r="E252" i="3"/>
  <c r="E207" i="3"/>
  <c r="E89" i="3"/>
  <c r="E122" i="3"/>
  <c r="E269" i="3"/>
  <c r="E148" i="3"/>
  <c r="E236" i="3"/>
  <c r="E156" i="3"/>
  <c r="E136" i="3"/>
  <c r="E196" i="3"/>
  <c r="E262" i="3"/>
  <c r="E296" i="3"/>
  <c r="E407" i="3"/>
  <c r="E551" i="3"/>
  <c r="E358" i="3"/>
  <c r="E205" i="3"/>
  <c r="E510" i="3"/>
  <c r="E329" i="3"/>
  <c r="E305" i="3"/>
  <c r="E530" i="3"/>
  <c r="E283" i="3"/>
  <c r="E29" i="3"/>
  <c r="E499" i="3"/>
  <c r="E267" i="3"/>
  <c r="E517" i="3"/>
  <c r="E301" i="3"/>
  <c r="E263" i="3"/>
  <c r="E335" i="3"/>
  <c r="E387" i="3"/>
  <c r="AB6" i="3"/>
  <c r="M6" i="3"/>
  <c r="E570" i="3"/>
  <c r="E514" i="3"/>
  <c r="E311" i="3"/>
  <c r="E165" i="3"/>
  <c r="E227" i="3"/>
  <c r="E461" i="3"/>
  <c r="E567" i="3"/>
  <c r="E539" i="3"/>
  <c r="E328" i="3"/>
  <c r="E426" i="3"/>
  <c r="E153" i="3"/>
  <c r="E501" i="3"/>
  <c r="E319" i="3"/>
  <c r="E53" i="3"/>
  <c r="E233" i="3"/>
  <c r="E103" i="3"/>
  <c r="E241" i="3"/>
  <c r="E255" i="3"/>
  <c r="E533" i="3"/>
  <c r="E67" i="3"/>
  <c r="E425" i="3"/>
  <c r="E152" i="3"/>
  <c r="BA5" i="3"/>
  <c r="AZ15" i="3"/>
  <c r="AZ5" i="3" s="1"/>
  <c r="D22" i="43"/>
  <c r="E8" i="6"/>
  <c r="E15" i="6"/>
  <c r="E14" i="6"/>
  <c r="E11" i="6"/>
  <c r="E10" i="6"/>
  <c r="E58" i="40"/>
  <c r="E62" i="39"/>
  <c r="E57" i="40"/>
  <c r="N102" i="43"/>
  <c r="N104" i="43"/>
  <c r="N103" i="43"/>
  <c r="N107" i="43"/>
  <c r="K103" i="43"/>
  <c r="K105" i="43"/>
  <c r="K104"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2" i="43"/>
  <c r="L104" i="43"/>
  <c r="L107" i="43"/>
  <c r="J107" i="43"/>
  <c r="J104" i="43"/>
  <c r="J103" i="43"/>
  <c r="J109" i="43"/>
  <c r="G107" i="43"/>
  <c r="G104" i="43"/>
  <c r="G106" i="43"/>
  <c r="G105" i="43"/>
  <c r="G102" i="43"/>
  <c r="G103" i="43"/>
  <c r="G109" i="43"/>
  <c r="E104" i="43"/>
  <c r="E105" i="43"/>
  <c r="E102" i="43"/>
  <c r="E106" i="43"/>
  <c r="M109" i="43"/>
  <c r="M107" i="43"/>
  <c r="M106"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AC10" i="39" s="1"/>
  <c r="H10" i="40"/>
  <c r="AB10" i="40" s="1"/>
  <c r="H110" i="9"/>
  <c r="D18" i="53" s="1"/>
  <c r="B35" i="72" s="1"/>
  <c r="D16" i="53"/>
  <c r="D124" i="9"/>
  <c r="D19" i="53"/>
  <c r="D126" i="9"/>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AE7" i="1"/>
  <c r="AE6" i="1"/>
  <c r="C16" i="83"/>
  <c r="F41" i="67"/>
  <c r="C49" i="83" l="1"/>
  <c r="J10" i="83"/>
  <c r="J5" i="83" s="1"/>
  <c r="J24" i="83" s="1"/>
  <c r="Q60" i="83"/>
  <c r="Q73" i="83"/>
  <c r="Q61" i="83"/>
  <c r="Q74" i="83"/>
  <c r="Q66" i="83"/>
  <c r="Q57" i="83"/>
  <c r="Q52" i="83"/>
  <c r="F1" i="83"/>
  <c r="C32" i="83"/>
  <c r="C33" i="83"/>
  <c r="M102" i="43"/>
  <c r="M105" i="43"/>
  <c r="J106" i="43"/>
  <c r="J105" i="43"/>
  <c r="N106" i="43"/>
  <c r="N109" i="43"/>
  <c r="AC6" i="3"/>
  <c r="C9" i="68"/>
  <c r="Q61" i="15"/>
  <c r="C53" i="83"/>
  <c r="C10" i="83"/>
  <c r="C5" i="83" s="1"/>
  <c r="F24" i="81"/>
  <c r="C24" i="81" s="1"/>
  <c r="F24" i="83"/>
  <c r="J26" i="83"/>
  <c r="E103" i="43"/>
  <c r="E109" i="43"/>
  <c r="L103" i="43"/>
  <c r="L106" i="43"/>
  <c r="L105" i="43"/>
  <c r="K106" i="43"/>
  <c r="K107" i="43"/>
  <c r="F69" i="67"/>
  <c r="E30" i="6"/>
  <c r="C29" i="11"/>
  <c r="D27" i="11" s="1"/>
  <c r="D19" i="12"/>
  <c r="C19" i="12" s="1"/>
  <c r="D9" i="11"/>
  <c r="C9" i="11" s="1"/>
  <c r="D9" i="69"/>
  <c r="C9" i="69" s="1"/>
  <c r="U7" i="37"/>
  <c r="J26" i="81"/>
  <c r="J24" i="81"/>
  <c r="C53" i="81"/>
  <c r="C48" i="81" s="1"/>
  <c r="C10" i="81"/>
  <c r="C5" i="81" s="1"/>
  <c r="E6" i="3"/>
  <c r="M14" i="1"/>
  <c r="C34" i="69"/>
  <c r="K16" i="1"/>
  <c r="B29" i="1" s="1"/>
  <c r="U10" i="40"/>
  <c r="AC10" i="40"/>
  <c r="E60" i="39"/>
  <c r="E56" i="40"/>
  <c r="E60" i="40"/>
  <c r="E64" i="39"/>
  <c r="E3" i="6"/>
  <c r="AY6" i="3"/>
  <c r="E63" i="39"/>
  <c r="E59" i="40"/>
  <c r="F27" i="6"/>
  <c r="F31" i="6" s="1"/>
  <c r="E51" i="40"/>
  <c r="E16" i="6"/>
  <c r="E56" i="39"/>
  <c r="U10" i="39"/>
  <c r="W10" i="39"/>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S10" i="40"/>
  <c r="D20" i="53"/>
  <c r="B40" i="72" s="1"/>
  <c r="B38" i="72"/>
  <c r="B34" i="72"/>
  <c r="D17" i="53"/>
  <c r="B36" i="72" s="1"/>
  <c r="I14" i="74"/>
  <c r="B8" i="74" s="1"/>
  <c r="D127" i="9"/>
  <c r="D13" i="52" s="1"/>
  <c r="D12" i="52"/>
  <c r="H14" i="74"/>
  <c r="B7" i="74" s="1"/>
  <c r="D10" i="52"/>
  <c r="D125" i="9"/>
  <c r="D11" i="52"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C53" i="67"/>
  <c r="C48" i="67" s="1"/>
  <c r="C10" i="67"/>
  <c r="C5" i="67" s="1"/>
  <c r="C53" i="15"/>
  <c r="C48" i="15" s="1"/>
  <c r="C10" i="15"/>
  <c r="C5" i="15" s="1"/>
  <c r="F25" i="12"/>
  <c r="F22" i="69"/>
  <c r="F41" i="69" s="1"/>
  <c r="F24" i="67"/>
  <c r="C24" i="67" s="1"/>
  <c r="F22" i="11"/>
  <c r="F22" i="68"/>
  <c r="F24" i="15"/>
  <c r="C24" i="15" s="1"/>
  <c r="AE8" i="1"/>
  <c r="F41" i="83"/>
  <c r="F41" i="81"/>
  <c r="F41" i="15"/>
  <c r="C48" i="83" l="1"/>
  <c r="C66" i="83" s="1"/>
  <c r="F69" i="83"/>
  <c r="J29" i="83"/>
  <c r="C24" i="83"/>
  <c r="C38" i="83"/>
  <c r="L18" i="82"/>
  <c r="M18" i="82"/>
  <c r="B118" i="82" s="1"/>
  <c r="F69" i="81"/>
  <c r="J29" i="81"/>
  <c r="C38" i="81"/>
  <c r="C66" i="81"/>
  <c r="C60" i="81"/>
  <c r="F69" i="15"/>
  <c r="J29" i="15"/>
  <c r="E65" i="39"/>
  <c r="E27" i="6"/>
  <c r="C35" i="69"/>
  <c r="C38" i="69"/>
  <c r="O14" i="1"/>
  <c r="M16" i="1"/>
  <c r="N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103" i="3"/>
  <c r="AY67" i="3"/>
  <c r="AY50" i="3"/>
  <c r="AY98"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82"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139" i="3"/>
  <c r="AY74" i="3"/>
  <c r="AY123" i="3"/>
  <c r="AY204" i="3"/>
  <c r="AY252" i="3"/>
  <c r="AY363" i="3"/>
  <c r="AY489" i="3"/>
  <c r="AY412" i="3"/>
  <c r="AY43" i="3"/>
  <c r="AY229" i="3"/>
  <c r="AY379" i="3"/>
  <c r="AY326" i="3"/>
  <c r="AY436" i="3"/>
  <c r="AY557" i="3"/>
  <c r="AY105" i="3"/>
  <c r="AY69" i="3"/>
  <c r="AY52" i="3"/>
  <c r="AY198" i="3"/>
  <c r="AY162" i="3"/>
  <c r="AY141" i="3"/>
  <c r="AY291" i="3"/>
  <c r="AY255" i="3"/>
  <c r="AY384" i="3"/>
  <c r="AY368" i="3"/>
  <c r="BB6" i="3"/>
  <c r="AY181" i="3"/>
  <c r="AY121" i="3"/>
  <c r="AY258" i="3"/>
  <c r="AY309" i="3"/>
  <c r="AY449" i="3"/>
  <c r="AY406" i="3"/>
  <c r="AY572" i="3"/>
  <c r="AY520" i="3"/>
  <c r="AY496" i="3"/>
  <c r="AY81" i="3"/>
  <c r="AY205" i="3"/>
  <c r="AY142" i="3"/>
  <c r="AY298" i="3"/>
  <c r="AY235" i="3"/>
  <c r="AY385" i="3"/>
  <c r="AY352" i="3"/>
  <c r="AY336" i="3"/>
  <c r="AY304" i="3"/>
  <c r="AY461" i="3"/>
  <c r="AY418" i="3"/>
  <c r="AY431" i="3"/>
  <c r="AY17" i="3"/>
  <c r="AY564" i="3"/>
  <c r="AY515" i="3"/>
  <c r="AY551" i="3"/>
  <c r="AY545" i="3"/>
  <c r="BP6" i="3"/>
  <c r="AY493" i="3"/>
  <c r="AY110" i="3"/>
  <c r="AY47" i="3"/>
  <c r="AY62" i="3"/>
  <c r="AY19" i="3"/>
  <c r="AY203" i="3"/>
  <c r="AY172" i="3"/>
  <c r="AY151" i="3"/>
  <c r="AY301" i="3"/>
  <c r="AY265" i="3"/>
  <c r="AY233" i="3"/>
  <c r="AY216" i="3"/>
  <c r="AY383" i="3"/>
  <c r="AY359" i="3"/>
  <c r="AY315" i="3"/>
  <c r="AY330" i="3"/>
  <c r="AY485" i="3"/>
  <c r="AY451" i="3"/>
  <c r="AY440" i="3"/>
  <c r="AY421" i="3"/>
  <c r="AY13" i="3"/>
  <c r="AY528" i="3"/>
  <c r="AY576" i="3"/>
  <c r="AY107" i="3"/>
  <c r="AY71" i="3"/>
  <c r="AY39" i="3"/>
  <c r="AY54" i="3"/>
  <c r="AY200" i="3"/>
  <c r="AY195" i="3"/>
  <c r="AY175" i="3"/>
  <c r="AY136" i="3"/>
  <c r="AY293" i="3"/>
  <c r="AY257" i="3"/>
  <c r="AY272" i="3"/>
  <c r="AY208" i="3"/>
  <c r="AY375" i="3"/>
  <c r="AY351" i="3"/>
  <c r="AY307" i="3"/>
  <c r="AY322" i="3"/>
  <c r="AY474" i="3"/>
  <c r="AY432" i="3"/>
  <c r="AY400" i="3"/>
  <c r="AY521" i="3"/>
  <c r="AY15" i="3"/>
  <c r="AY583" i="3"/>
  <c r="AY567" i="3"/>
  <c r="AY540" i="3"/>
  <c r="AY238" i="3"/>
  <c r="AY72" i="3"/>
  <c r="AY370" i="3"/>
  <c r="AY483" i="3"/>
  <c r="AY503" i="3"/>
  <c r="AY543" i="3"/>
  <c r="AY32" i="3"/>
  <c r="AY122" i="3"/>
  <c r="AY218" i="3"/>
  <c r="AY321" i="3"/>
  <c r="AY492" i="3"/>
  <c r="AY450" i="3"/>
  <c r="AY399" i="3"/>
  <c r="AY575" i="3"/>
  <c r="AY537" i="3"/>
  <c r="AY530" i="3"/>
  <c r="AY548" i="3"/>
  <c r="AY563" i="3"/>
  <c r="AY79" i="3"/>
  <c r="AY30" i="3"/>
  <c r="AY140" i="3"/>
  <c r="AY120" i="3"/>
  <c r="AY296" i="3"/>
  <c r="AY248" i="3"/>
  <c r="AY394" i="3"/>
  <c r="AY347" i="3"/>
  <c r="AY482" i="3"/>
  <c r="AY408" i="3"/>
  <c r="AY500" i="3"/>
  <c r="AY547" i="3"/>
  <c r="AY568" i="3"/>
  <c r="AY102" i="3"/>
  <c r="AY22" i="3"/>
  <c r="AY164" i="3"/>
  <c r="AY143" i="3"/>
  <c r="AY288" i="3"/>
  <c r="AY240" i="3"/>
  <c r="AY386" i="3"/>
  <c r="AY339" i="3"/>
  <c r="AY477" i="3"/>
  <c r="AY443" i="3"/>
  <c r="AY413" i="3"/>
  <c r="AY566" i="3"/>
  <c r="BT6" i="3"/>
  <c r="D3" i="21"/>
  <c r="D19" i="11"/>
  <c r="C19" i="11" s="1"/>
  <c r="C24" i="11" s="1"/>
  <c r="D37" i="11"/>
  <c r="C37" i="11" s="1"/>
  <c r="D14" i="12"/>
  <c r="M18" i="9"/>
  <c r="B118" i="9" s="1"/>
  <c r="B14" i="74" s="1"/>
  <c r="B1" i="74" s="1"/>
  <c r="C8" i="74" s="1"/>
  <c r="D3" i="33"/>
  <c r="E6" i="6"/>
  <c r="D3" i="34"/>
  <c r="C17" i="4"/>
  <c r="B4" i="52" s="1"/>
  <c r="B43" i="72" s="1"/>
  <c r="D3" i="37"/>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6" i="11"/>
  <c r="D22" i="11" s="1"/>
  <c r="C38" i="67"/>
  <c r="C38" i="15"/>
  <c r="C66" i="67"/>
  <c r="C60" i="67"/>
  <c r="E6" i="76"/>
  <c r="B6" i="76"/>
  <c r="C60" i="83" l="1"/>
  <c r="C7" i="74"/>
  <c r="C34" i="40"/>
  <c r="H34" i="40" s="1"/>
  <c r="M19" i="82"/>
  <c r="C118" i="82" s="1"/>
  <c r="L19" i="82"/>
  <c r="P14" i="1"/>
  <c r="P16" i="1" s="1"/>
  <c r="C11" i="12" s="1"/>
  <c r="O16" i="1"/>
  <c r="F50" i="69"/>
  <c r="F50" i="68"/>
  <c r="F50" i="11"/>
  <c r="C34" i="11"/>
  <c r="L16" i="1"/>
  <c r="K22" i="6"/>
  <c r="M22" i="6" s="1"/>
  <c r="I22" i="6" s="1"/>
  <c r="S22" i="6" s="1"/>
  <c r="K24" i="6"/>
  <c r="M24" i="6" s="1"/>
  <c r="I24" i="6" s="1"/>
  <c r="S24" i="6" s="1"/>
  <c r="K19" i="6"/>
  <c r="S6" i="1" s="1"/>
  <c r="K20" i="6"/>
  <c r="K23" i="6"/>
  <c r="M23" i="6" s="1"/>
  <c r="I23" i="6" s="1"/>
  <c r="S23" i="6" s="1"/>
  <c r="K25" i="6"/>
  <c r="M25" i="6" s="1"/>
  <c r="I25" i="6" s="1"/>
  <c r="S25" i="6" s="1"/>
  <c r="E31" i="6"/>
  <c r="K26" i="6"/>
  <c r="M26" i="6" s="1"/>
  <c r="I26" i="6" s="1"/>
  <c r="S26" i="6" s="1"/>
  <c r="K21" i="6"/>
  <c r="B2" i="34"/>
  <c r="B3" i="34" s="1"/>
  <c r="D10" i="11"/>
  <c r="C10" i="11" s="1"/>
  <c r="D10" i="69"/>
  <c r="D20" i="12"/>
  <c r="C20" i="12" s="1"/>
  <c r="D17" i="12"/>
  <c r="C17" i="12" s="1"/>
  <c r="C14" i="12"/>
  <c r="C20" i="11"/>
  <c r="C25" i="11" s="1"/>
  <c r="C22" i="11" s="1"/>
  <c r="D19" i="6"/>
  <c r="M19" i="9" s="1"/>
  <c r="C118" i="9" s="1"/>
  <c r="C14" i="74" s="1"/>
  <c r="D15" i="6"/>
  <c r="D21" i="6"/>
  <c r="D20" i="6"/>
  <c r="D5" i="6"/>
  <c r="D9" i="6"/>
  <c r="D10" i="6"/>
  <c r="D28" i="6"/>
  <c r="E61" i="40"/>
  <c r="D25" i="6"/>
  <c r="D22" i="6"/>
  <c r="D24" i="6"/>
  <c r="D6" i="6"/>
  <c r="D11" i="6"/>
  <c r="D29" i="6"/>
  <c r="D14" i="6"/>
  <c r="D8" i="6"/>
  <c r="D26" i="6"/>
  <c r="D23" i="6"/>
  <c r="C18" i="4"/>
  <c r="D13" i="6"/>
  <c r="D12"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7" i="15"/>
  <c r="M21" i="6" l="1"/>
  <c r="I21" i="6" s="1"/>
  <c r="S21" i="6" s="1"/>
  <c r="S8" i="1"/>
  <c r="H24" i="6"/>
  <c r="R24" i="6" s="1"/>
  <c r="J34" i="40"/>
  <c r="AC34" i="40" s="1"/>
  <c r="H25" i="6"/>
  <c r="R25" i="6" s="1"/>
  <c r="F34" i="40"/>
  <c r="AA34" i="40" s="1"/>
  <c r="H23" i="6"/>
  <c r="R23" i="6" s="1"/>
  <c r="M20" i="6"/>
  <c r="I20" i="6" s="1"/>
  <c r="S20" i="6" s="1"/>
  <c r="S7" i="1"/>
  <c r="E6" i="70"/>
  <c r="AB34" i="40"/>
  <c r="U34" i="40"/>
  <c r="H22" i="6"/>
  <c r="R22" i="6" s="1"/>
  <c r="AQ6" i="1"/>
  <c r="AR6" i="1"/>
  <c r="T6" i="1"/>
  <c r="H26" i="6"/>
  <c r="D16" i="6"/>
  <c r="D30" i="6"/>
  <c r="D27" i="6"/>
  <c r="M19" i="6"/>
  <c r="K27" i="6"/>
  <c r="C15" i="12"/>
  <c r="C12" i="12"/>
  <c r="C35" i="11"/>
  <c r="C38" i="11"/>
  <c r="R26" i="6"/>
  <c r="A7" i="51"/>
  <c r="B7" i="72" s="1"/>
  <c r="C4" i="52"/>
  <c r="B45" i="72" s="1"/>
  <c r="A10" i="51"/>
  <c r="B9" i="72" s="1"/>
  <c r="C10" i="69"/>
  <c r="C8" i="69" s="1"/>
  <c r="C5" i="69" s="1"/>
  <c r="D19" i="69"/>
  <c r="C28" i="11"/>
  <c r="C27" i="11" s="1"/>
  <c r="C31" i="11" s="1"/>
  <c r="I69" i="39"/>
  <c r="J67" i="39"/>
  <c r="B3" i="76"/>
  <c r="D6" i="71"/>
  <c r="M20" i="43"/>
  <c r="I63" i="40"/>
  <c r="H65" i="40"/>
  <c r="I58" i="21"/>
  <c r="J58" i="21" s="1"/>
  <c r="K58" i="21" s="1"/>
  <c r="L58" i="21" s="1"/>
  <c r="M58" i="21" s="1"/>
  <c r="N58" i="21" s="1"/>
  <c r="O58" i="21" s="1"/>
  <c r="H7" i="21" s="1"/>
  <c r="J7" i="21"/>
  <c r="F7" i="21"/>
  <c r="J48" i="35"/>
  <c r="D10" i="68"/>
  <c r="C17" i="83"/>
  <c r="C14" i="67"/>
  <c r="C14" i="15"/>
  <c r="C17" i="67"/>
  <c r="C17" i="81"/>
  <c r="E8" i="70" l="1"/>
  <c r="H20" i="6"/>
  <c r="R20" i="6" s="1"/>
  <c r="R7" i="1" s="1"/>
  <c r="H21" i="6"/>
  <c r="R21" i="6" s="1"/>
  <c r="R8" i="1" s="1"/>
  <c r="AR8" i="1"/>
  <c r="T8" i="1"/>
  <c r="AQ8" i="1"/>
  <c r="W34" i="40"/>
  <c r="S34" i="40"/>
  <c r="C15" i="67"/>
  <c r="C18" i="67"/>
  <c r="D19" i="68"/>
  <c r="D37" i="68" s="1"/>
  <c r="C37" i="68" s="1"/>
  <c r="C10" i="68"/>
  <c r="S16" i="1"/>
  <c r="E7" i="70"/>
  <c r="AQ7" i="1"/>
  <c r="T7" i="1"/>
  <c r="AR7" i="1"/>
  <c r="D31" i="6"/>
  <c r="I5" i="6" s="1"/>
  <c r="C18" i="15"/>
  <c r="C15" i="15"/>
  <c r="C33" i="11"/>
  <c r="C42" i="11" s="1"/>
  <c r="C16" i="12"/>
  <c r="M27" i="6"/>
  <c r="I19" i="6"/>
  <c r="L18" i="9" s="1"/>
  <c r="C19" i="69"/>
  <c r="C24" i="69" s="1"/>
  <c r="D37" i="69"/>
  <c r="C37" i="69" s="1"/>
  <c r="C33" i="69" s="1"/>
  <c r="C19" i="68"/>
  <c r="C23" i="69"/>
  <c r="J69" i="39"/>
  <c r="K67" i="39"/>
  <c r="U7" i="21"/>
  <c r="AB7" i="21"/>
  <c r="T48" i="21" s="1"/>
  <c r="G48" i="21" s="1"/>
  <c r="S7" i="21"/>
  <c r="AA7" i="21"/>
  <c r="R48" i="21" s="1"/>
  <c r="J63" i="40"/>
  <c r="I65" i="40"/>
  <c r="K48" i="35"/>
  <c r="L48" i="35" s="1"/>
  <c r="M48" i="35" s="1"/>
  <c r="N48" i="35" s="1"/>
  <c r="O48" i="35" s="1"/>
  <c r="H7" i="35" s="1"/>
  <c r="AC7" i="21"/>
  <c r="V48" i="21" s="1"/>
  <c r="I48" i="21" s="1"/>
  <c r="W7" i="21"/>
  <c r="C34" i="68"/>
  <c r="M21" i="67"/>
  <c r="C14" i="81"/>
  <c r="C14" i="83"/>
  <c r="F35" i="67"/>
  <c r="T16" i="1" l="1"/>
  <c r="E2" i="70"/>
  <c r="C34" i="67"/>
  <c r="F63" i="67"/>
  <c r="C62" i="67" s="1"/>
  <c r="J20" i="67"/>
  <c r="C15" i="83"/>
  <c r="C18" i="83"/>
  <c r="I6" i="6"/>
  <c r="C39" i="11"/>
  <c r="C46" i="11" s="1"/>
  <c r="C45" i="11" s="1"/>
  <c r="C8" i="68"/>
  <c r="C19" i="67"/>
  <c r="C20" i="67" s="1"/>
  <c r="C26" i="67" s="1"/>
  <c r="C18" i="12"/>
  <c r="C21" i="12" s="1"/>
  <c r="C18" i="81"/>
  <c r="C15" i="81"/>
  <c r="C35" i="68"/>
  <c r="C38" i="68"/>
  <c r="C19" i="15"/>
  <c r="C20" i="15" s="1"/>
  <c r="C26" i="15" s="1"/>
  <c r="C20" i="69"/>
  <c r="C28" i="69" s="1"/>
  <c r="C27" i="69" s="1"/>
  <c r="H19" i="6"/>
  <c r="L19" i="9" s="1"/>
  <c r="S19" i="6"/>
  <c r="S27" i="6" s="1"/>
  <c r="I27" i="6"/>
  <c r="C39" i="69"/>
  <c r="C43" i="69" s="1"/>
  <c r="C42" i="69"/>
  <c r="C24" i="68"/>
  <c r="J7" i="35"/>
  <c r="W7" i="35" s="1"/>
  <c r="L67" i="39"/>
  <c r="K69" i="39"/>
  <c r="J65" i="40"/>
  <c r="K63" i="40"/>
  <c r="I52" i="21"/>
  <c r="J52" i="21" s="1"/>
  <c r="U7" i="35"/>
  <c r="AB7" i="35"/>
  <c r="T38" i="35" s="1"/>
  <c r="G38" i="35" s="1"/>
  <c r="R49" i="21"/>
  <c r="E48" i="21"/>
  <c r="G52" i="21"/>
  <c r="H52" i="21" s="1"/>
  <c r="G53" i="21"/>
  <c r="H53" i="21" s="1"/>
  <c r="F7" i="35"/>
  <c r="C19" i="83" l="1"/>
  <c r="C20" i="83" s="1"/>
  <c r="C26" i="83" s="1"/>
  <c r="C43" i="11"/>
  <c r="C41" i="11" s="1"/>
  <c r="C19" i="81"/>
  <c r="C33" i="68"/>
  <c r="C39" i="68" s="1"/>
  <c r="C43" i="68" s="1"/>
  <c r="C23" i="67"/>
  <c r="C29" i="67" s="1"/>
  <c r="J59" i="67" s="1"/>
  <c r="J60" i="67" s="1"/>
  <c r="Q48" i="67" s="1"/>
  <c r="C42" i="68"/>
  <c r="C20" i="81"/>
  <c r="C26" i="81" s="1"/>
  <c r="C23" i="15"/>
  <c r="C29" i="15" s="1"/>
  <c r="J59" i="15" s="1"/>
  <c r="J60" i="15" s="1"/>
  <c r="Q48" i="15" s="1"/>
  <c r="C25" i="69"/>
  <c r="C22" i="69" s="1"/>
  <c r="C31" i="69" s="1"/>
  <c r="C22" i="12"/>
  <c r="C27" i="12" s="1"/>
  <c r="C25" i="12" s="1"/>
  <c r="C41" i="69"/>
  <c r="C49" i="11"/>
  <c r="C51" i="11" s="1"/>
  <c r="C52" i="11" s="1"/>
  <c r="B2" i="11" s="1"/>
  <c r="B3" i="11" s="1"/>
  <c r="R19" i="6"/>
  <c r="H27" i="6"/>
  <c r="C46" i="69"/>
  <c r="C45" i="69" s="1"/>
  <c r="C46" i="68"/>
  <c r="C45"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3" l="1"/>
  <c r="C29" i="83" s="1"/>
  <c r="C57" i="83" s="1"/>
  <c r="C36" i="67"/>
  <c r="J14" i="67"/>
  <c r="J19" i="67"/>
  <c r="J17" i="67" s="1"/>
  <c r="Q49" i="67"/>
  <c r="C13" i="67"/>
  <c r="C33" i="67"/>
  <c r="C31" i="67" s="1"/>
  <c r="C57" i="67"/>
  <c r="C41" i="68"/>
  <c r="C23" i="81"/>
  <c r="C29" i="81" s="1"/>
  <c r="Q49" i="15"/>
  <c r="J14" i="15"/>
  <c r="C36" i="15"/>
  <c r="C13" i="15"/>
  <c r="J19" i="15"/>
  <c r="C57" i="15"/>
  <c r="C30" i="12"/>
  <c r="C28" i="12" s="1"/>
  <c r="C32" i="12" s="1"/>
  <c r="B2" i="12" s="1"/>
  <c r="B3" i="12" s="1"/>
  <c r="C49" i="69"/>
  <c r="C51" i="69" s="1"/>
  <c r="C52" i="69" s="1"/>
  <c r="B2" i="69" s="1"/>
  <c r="C49" i="68"/>
  <c r="C51" i="68" s="1"/>
  <c r="R27" i="6"/>
  <c r="R6" i="1"/>
  <c r="C56" i="11"/>
  <c r="C57" i="11" s="1"/>
  <c r="M69" i="39"/>
  <c r="N67" i="39"/>
  <c r="R39" i="35"/>
  <c r="E38" i="35"/>
  <c r="M63" i="40"/>
  <c r="L65" i="40"/>
  <c r="F35" i="81"/>
  <c r="M21" i="83"/>
  <c r="F35" i="15"/>
  <c r="F35" i="83"/>
  <c r="M21" i="81"/>
  <c r="M21" i="15"/>
  <c r="Q49" i="83" l="1"/>
  <c r="C13" i="83"/>
  <c r="C56" i="83" s="1"/>
  <c r="C65" i="83" s="1"/>
  <c r="C36" i="83"/>
  <c r="J19" i="83"/>
  <c r="J14" i="83"/>
  <c r="J13" i="83" s="1"/>
  <c r="J23" i="83" s="1"/>
  <c r="C75" i="83"/>
  <c r="C64" i="83"/>
  <c r="C61" i="83"/>
  <c r="F63" i="83"/>
  <c r="C62" i="83" s="1"/>
  <c r="C34" i="83"/>
  <c r="C31" i="83" s="1"/>
  <c r="J20" i="83"/>
  <c r="J17" i="83" s="1"/>
  <c r="J13" i="67"/>
  <c r="J23" i="67" s="1"/>
  <c r="J22" i="67"/>
  <c r="C61" i="67"/>
  <c r="C59" i="67" s="1"/>
  <c r="C64" i="67"/>
  <c r="C56" i="67"/>
  <c r="C65" i="67" s="1"/>
  <c r="Q70" i="67"/>
  <c r="C75" i="67"/>
  <c r="C37" i="67"/>
  <c r="C30" i="67" s="1"/>
  <c r="C39" i="67" s="1"/>
  <c r="C36" i="81"/>
  <c r="C57" i="81"/>
  <c r="J19" i="81"/>
  <c r="J14" i="81"/>
  <c r="C13" i="81"/>
  <c r="Q49" i="81"/>
  <c r="C15" i="74"/>
  <c r="F63" i="81"/>
  <c r="C62" i="81" s="1"/>
  <c r="C34" i="81"/>
  <c r="C31" i="81" s="1"/>
  <c r="J20" i="81"/>
  <c r="C61" i="15"/>
  <c r="C64" i="15"/>
  <c r="Q70" i="15"/>
  <c r="C56" i="15"/>
  <c r="C65" i="15" s="1"/>
  <c r="C37" i="15"/>
  <c r="C75" i="15"/>
  <c r="J13" i="15"/>
  <c r="J23" i="15" s="1"/>
  <c r="J22" i="15"/>
  <c r="B3" i="69"/>
  <c r="J20" i="15"/>
  <c r="J17" i="15" s="1"/>
  <c r="C34" i="15"/>
  <c r="C31" i="15" s="1"/>
  <c r="C30" i="15" s="1"/>
  <c r="C39" i="15" s="1"/>
  <c r="F63" i="15"/>
  <c r="C62" i="15" s="1"/>
  <c r="R16" i="1"/>
  <c r="C57" i="69"/>
  <c r="C56" i="69" s="1"/>
  <c r="O67" i="39"/>
  <c r="O69" i="39" s="1"/>
  <c r="N69" i="39"/>
  <c r="F7" i="39" s="1"/>
  <c r="C39" i="35"/>
  <c r="B2" i="35" s="1"/>
  <c r="B3" i="35" s="1"/>
  <c r="C38" i="35"/>
  <c r="N63" i="40"/>
  <c r="M65" i="40"/>
  <c r="E43" i="35"/>
  <c r="F43" i="35" s="1"/>
  <c r="E42" i="35"/>
  <c r="F42" i="35" s="1"/>
  <c r="I43" i="35"/>
  <c r="J43" i="35" s="1"/>
  <c r="L51" i="15"/>
  <c r="L51" i="67"/>
  <c r="Q70" i="83" l="1"/>
  <c r="C37" i="83"/>
  <c r="C30" i="83" s="1"/>
  <c r="C39" i="83" s="1"/>
  <c r="Q69" i="83" s="1"/>
  <c r="J22" i="83"/>
  <c r="J16" i="83" s="1"/>
  <c r="J25" i="83" s="1"/>
  <c r="C59" i="83"/>
  <c r="C58" i="83" s="1"/>
  <c r="C67" i="83" s="1"/>
  <c r="C68" i="83" s="1"/>
  <c r="C71" i="83" s="1"/>
  <c r="C80" i="67"/>
  <c r="C79" i="67" s="1"/>
  <c r="J16" i="67"/>
  <c r="J25" i="67" s="1"/>
  <c r="Q67" i="67"/>
  <c r="L57" i="67"/>
  <c r="L60" i="67" s="1"/>
  <c r="C40" i="67"/>
  <c r="Q69" i="67"/>
  <c r="Q68" i="67" s="1"/>
  <c r="C58" i="67"/>
  <c r="C67" i="67" s="1"/>
  <c r="C68" i="67" s="1"/>
  <c r="J17" i="81"/>
  <c r="J13" i="81"/>
  <c r="J23" i="81" s="1"/>
  <c r="J22" i="81"/>
  <c r="C61" i="81"/>
  <c r="C59" i="81" s="1"/>
  <c r="C64" i="81"/>
  <c r="Q70" i="81"/>
  <c r="C75" i="81"/>
  <c r="C56" i="81"/>
  <c r="C65" i="81" s="1"/>
  <c r="C37" i="81"/>
  <c r="C30" i="81" s="1"/>
  <c r="C39" i="81" s="1"/>
  <c r="B2" i="74"/>
  <c r="C59" i="15"/>
  <c r="C58" i="15" s="1"/>
  <c r="C67" i="15" s="1"/>
  <c r="C68" i="15" s="1"/>
  <c r="C71" i="15" s="1"/>
  <c r="J16" i="15"/>
  <c r="J25" i="15" s="1"/>
  <c r="Q67" i="15"/>
  <c r="C40" i="15"/>
  <c r="C80" i="15"/>
  <c r="C79" i="15" s="1"/>
  <c r="Q69" i="15"/>
  <c r="Q68" i="15" s="1"/>
  <c r="H7" i="39"/>
  <c r="J7" i="39"/>
  <c r="S7" i="39"/>
  <c r="AA7" i="39"/>
  <c r="R47" i="39" s="1"/>
  <c r="O63" i="40"/>
  <c r="O65" i="40" s="1"/>
  <c r="N65" i="40"/>
  <c r="L51" i="81"/>
  <c r="L51" i="83"/>
  <c r="Q68" i="83" l="1"/>
  <c r="C40" i="83"/>
  <c r="Q65" i="83" s="1"/>
  <c r="Q75" i="83" s="1"/>
  <c r="C80" i="83"/>
  <c r="C79" i="83" s="1"/>
  <c r="Q67" i="83"/>
  <c r="L46" i="67"/>
  <c r="D2" i="67" s="1"/>
  <c r="Q66" i="67"/>
  <c r="Q57" i="67"/>
  <c r="C45" i="67"/>
  <c r="C46" i="67" s="1"/>
  <c r="C71" i="67"/>
  <c r="C43" i="67"/>
  <c r="Q47" i="67"/>
  <c r="Q53" i="67" s="1"/>
  <c r="Q65" i="67"/>
  <c r="Q56" i="67"/>
  <c r="C83" i="67"/>
  <c r="C82" i="67" s="1"/>
  <c r="J16" i="81"/>
  <c r="J25" i="81" s="1"/>
  <c r="C58" i="81"/>
  <c r="C67" i="81" s="1"/>
  <c r="C68" i="81" s="1"/>
  <c r="C71" i="81" s="1"/>
  <c r="Q69" i="81"/>
  <c r="Q68" i="81" s="1"/>
  <c r="C40" i="81"/>
  <c r="C80" i="81"/>
  <c r="C79" i="81" s="1"/>
  <c r="D8" i="74"/>
  <c r="D7" i="74"/>
  <c r="Q67" i="81"/>
  <c r="Q56" i="15"/>
  <c r="C43" i="15"/>
  <c r="C83" i="15"/>
  <c r="C82" i="15" s="1"/>
  <c r="Q65" i="15"/>
  <c r="Q47" i="15"/>
  <c r="Q53" i="15" s="1"/>
  <c r="C46" i="15"/>
  <c r="W7" i="39"/>
  <c r="AC7" i="39"/>
  <c r="V47" i="39" s="1"/>
  <c r="I47" i="39" s="1"/>
  <c r="E47" i="39"/>
  <c r="R48" i="39"/>
  <c r="U7" i="39"/>
  <c r="AB7" i="39"/>
  <c r="T47" i="39" s="1"/>
  <c r="G47" i="39" s="1"/>
  <c r="J7" i="40"/>
  <c r="F7" i="40"/>
  <c r="H7" i="40"/>
  <c r="AO8" i="1"/>
  <c r="C43" i="83" l="1"/>
  <c r="C46" i="83"/>
  <c r="B2" i="83"/>
  <c r="B3" i="83" s="1"/>
  <c r="Q56" i="83"/>
  <c r="Q62" i="83" s="1"/>
  <c r="C83" i="83"/>
  <c r="C82" i="83" s="1"/>
  <c r="Q47" i="83"/>
  <c r="Q53" i="83" s="1"/>
  <c r="B8" i="70"/>
  <c r="Q62" i="67"/>
  <c r="C46" i="81"/>
  <c r="Q56" i="81"/>
  <c r="Q62" i="81" s="1"/>
  <c r="Q75" i="67"/>
  <c r="B2" i="67"/>
  <c r="B3" i="67"/>
  <c r="C83" i="81"/>
  <c r="C82" i="81" s="1"/>
  <c r="B2" i="81"/>
  <c r="B3" i="81" s="1"/>
  <c r="C43" i="81"/>
  <c r="Q65" i="81"/>
  <c r="Q75" i="81" s="1"/>
  <c r="Q47" i="81"/>
  <c r="Q53" i="8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D20" i="82"/>
  <c r="D19" i="82"/>
  <c r="D21" i="82" l="1"/>
  <c r="D102" i="82"/>
  <c r="B7" i="70"/>
  <c r="D103" i="82"/>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D59" i="9" l="1"/>
  <c r="M55" i="9" s="1"/>
  <c r="C7" i="68" l="1"/>
  <c r="C5" i="68" s="1"/>
  <c r="C20" i="68" l="1"/>
  <c r="C25" i="68" s="1"/>
  <c r="C23" i="68"/>
  <c r="C28" i="68" l="1"/>
  <c r="C27" i="68" s="1"/>
  <c r="C22" i="68"/>
  <c r="L57" i="15"/>
  <c r="L60" i="15" s="1"/>
  <c r="Q58" i="15"/>
  <c r="C31" i="68" l="1"/>
  <c r="C52" i="68" s="1"/>
  <c r="B2" i="68" s="1"/>
  <c r="B3" i="68" s="1"/>
  <c r="L46" i="15"/>
  <c r="B2" i="15" s="1"/>
  <c r="Q57" i="15"/>
  <c r="Q62" i="15" s="1"/>
  <c r="Q66" i="15"/>
  <c r="Q75" i="15" s="1"/>
  <c r="C19" i="9"/>
  <c r="C20" i="82"/>
  <c r="D19" i="9"/>
  <c r="C20" i="9"/>
  <c r="AO6" i="1"/>
  <c r="C19" i="82"/>
  <c r="C57" i="68" l="1"/>
  <c r="C103" i="9"/>
  <c r="G20" i="82"/>
  <c r="I20" i="82" s="1"/>
  <c r="C103" i="82"/>
  <c r="C102" i="82"/>
  <c r="G19" i="82"/>
  <c r="C21" i="82"/>
  <c r="D22" i="82"/>
  <c r="C21" i="9"/>
  <c r="C102" i="9"/>
  <c r="G19" i="9"/>
  <c r="F41" i="6" s="1"/>
  <c r="G41" i="6" s="1"/>
  <c r="D22" i="9"/>
  <c r="B6" i="70"/>
  <c r="B2" i="70" s="1"/>
  <c r="B3" i="70" s="1"/>
  <c r="D21" i="9"/>
  <c r="D102" i="9"/>
  <c r="B3" i="15"/>
  <c r="D35" i="9"/>
  <c r="D35" i="82"/>
  <c r="D20" i="9"/>
  <c r="D45" i="9" l="1"/>
  <c r="C56" i="68"/>
  <c r="D103" i="9"/>
  <c r="G20" i="9"/>
  <c r="D15" i="74"/>
  <c r="C32" i="82"/>
  <c r="G21" i="82"/>
  <c r="G21" i="9"/>
  <c r="C32" i="9"/>
  <c r="D34" i="82"/>
  <c r="D34" i="9"/>
  <c r="D55" i="9" l="1"/>
  <c r="M53" i="9" s="1"/>
  <c r="C64" i="9"/>
  <c r="C63" i="9" s="1"/>
  <c r="C67" i="9" s="1"/>
  <c r="C68" i="9" s="1"/>
  <c r="D54" i="9" s="1"/>
  <c r="C78" i="9"/>
  <c r="C73" i="9" s="1"/>
  <c r="C72" i="9"/>
  <c r="C93" i="9"/>
  <c r="C86" i="9" s="1"/>
  <c r="D53" i="9"/>
  <c r="D48" i="9" s="1"/>
  <c r="M52" i="9" s="1"/>
  <c r="D52" i="9"/>
  <c r="C85" i="9"/>
  <c r="H118" i="82"/>
  <c r="C35" i="82"/>
  <c r="F118" i="82" s="1"/>
  <c r="H118" i="9"/>
  <c r="C35" i="9"/>
  <c r="G15" i="74"/>
  <c r="E15" i="74"/>
  <c r="F15" i="74"/>
  <c r="C95" i="9" l="1"/>
  <c r="C79" i="9"/>
  <c r="C81" i="9" s="1"/>
  <c r="H4" i="52"/>
  <c r="I118" i="9"/>
  <c r="H101" i="9"/>
  <c r="D14" i="74"/>
  <c r="H119" i="9"/>
  <c r="H5" i="52" s="1"/>
  <c r="C104" i="9"/>
  <c r="F119" i="82"/>
  <c r="G118" i="82"/>
  <c r="C96" i="9"/>
  <c r="E96" i="9" s="1"/>
  <c r="E97" i="9" s="1"/>
  <c r="C80" i="9"/>
  <c r="E80" i="9" s="1"/>
  <c r="E81" i="9" s="1"/>
  <c r="C34" i="9"/>
  <c r="D118" i="9" s="1"/>
  <c r="F118" i="9"/>
  <c r="C34" i="82"/>
  <c r="D118" i="82" s="1"/>
  <c r="D119" i="82" s="1"/>
  <c r="I118" i="82"/>
  <c r="H101" i="82"/>
  <c r="C104" i="82"/>
  <c r="H119" i="82"/>
  <c r="C97" i="9" l="1"/>
  <c r="D58" i="9" s="1"/>
  <c r="D56" i="9" s="1"/>
  <c r="M54" i="9" s="1"/>
  <c r="N57" i="9" s="1"/>
  <c r="N58" i="9" s="1"/>
  <c r="M48" i="82"/>
  <c r="H107" i="82"/>
  <c r="D45" i="82"/>
  <c r="D119" i="9"/>
  <c r="D5" i="52" s="1"/>
  <c r="B49" i="72" s="1"/>
  <c r="D4" i="52"/>
  <c r="B47" i="72" s="1"/>
  <c r="C105" i="82"/>
  <c r="H102" i="82"/>
  <c r="F4" i="52"/>
  <c r="B51" i="72" s="1"/>
  <c r="G118" i="9"/>
  <c r="G4" i="52" s="1"/>
  <c r="B52" i="72" s="1"/>
  <c r="F119" i="9"/>
  <c r="F5" i="52" s="1"/>
  <c r="B53" i="72" s="1"/>
  <c r="E118" i="82"/>
  <c r="F14" i="74"/>
  <c r="E14" i="74"/>
  <c r="B5" i="74"/>
  <c r="C105" i="9"/>
  <c r="I4" i="52"/>
  <c r="H102" i="9"/>
  <c r="D7" i="53" s="1"/>
  <c r="B21" i="72" s="1"/>
  <c r="H107" i="9"/>
  <c r="M48" i="9"/>
  <c r="D5" i="53"/>
  <c r="E118" i="9" l="1"/>
  <c r="E4" i="52" s="1"/>
  <c r="B48" i="72" s="1"/>
  <c r="D122" i="82"/>
  <c r="D123" i="82" s="1"/>
  <c r="H108" i="82"/>
  <c r="M49" i="82"/>
  <c r="C5" i="74"/>
  <c r="D5" i="74"/>
  <c r="D6" i="53"/>
  <c r="B22" i="72" s="1"/>
  <c r="B20" i="72"/>
  <c r="H108" i="9"/>
  <c r="D15" i="53" s="1"/>
  <c r="B31" i="72" s="1"/>
  <c r="D122" i="9"/>
  <c r="D13" i="53"/>
  <c r="M49" i="9"/>
  <c r="D52" i="82"/>
  <c r="C93" i="82"/>
  <c r="C86" i="82" s="1"/>
  <c r="C64" i="82"/>
  <c r="C63" i="82" s="1"/>
  <c r="C67" i="82" s="1"/>
  <c r="C68" i="82" s="1"/>
  <c r="D54" i="82" s="1"/>
  <c r="C85" i="82"/>
  <c r="C78" i="82"/>
  <c r="C73" i="82" s="1"/>
  <c r="D53" i="82"/>
  <c r="D48" i="82" s="1"/>
  <c r="M52" i="82" s="1"/>
  <c r="D55" i="82"/>
  <c r="M53" i="82" s="1"/>
  <c r="C72" i="82"/>
  <c r="C95" i="82" l="1"/>
  <c r="C79" i="82"/>
  <c r="L64" i="9"/>
  <c r="M64" i="9" s="1"/>
  <c r="L63" i="9"/>
  <c r="M63" i="9" s="1"/>
  <c r="L68" i="9"/>
  <c r="M68" i="9" s="1"/>
  <c r="L65" i="9"/>
  <c r="M65" i="9" s="1"/>
  <c r="L66" i="9"/>
  <c r="M66" i="9" s="1"/>
  <c r="L67" i="9"/>
  <c r="M67" i="9" s="1"/>
  <c r="N59" i="9"/>
  <c r="P57" i="9"/>
  <c r="D123" i="9"/>
  <c r="D9" i="52" s="1"/>
  <c r="D8" i="52"/>
  <c r="G14" i="74"/>
  <c r="B6" i="74" s="1"/>
  <c r="L67" i="82"/>
  <c r="M67" i="82" s="1"/>
  <c r="L68" i="82"/>
  <c r="M68" i="82" s="1"/>
  <c r="L64" i="82"/>
  <c r="M64" i="82" s="1"/>
  <c r="L65" i="82"/>
  <c r="M65" i="82" s="1"/>
  <c r="L63" i="82"/>
  <c r="M63" i="82" s="1"/>
  <c r="L66" i="82"/>
  <c r="M66" i="82" s="1"/>
  <c r="B30" i="72"/>
  <c r="D14" i="53"/>
  <c r="B32" i="72" s="1"/>
  <c r="M69" i="82" l="1"/>
  <c r="N69" i="82" s="1"/>
  <c r="C96" i="82"/>
  <c r="E96" i="82" s="1"/>
  <c r="E97" i="82" s="1"/>
  <c r="C80" i="82"/>
  <c r="E80" i="82" s="1"/>
  <c r="E81" i="82" s="1"/>
  <c r="D6" i="74"/>
  <c r="C6" i="74"/>
  <c r="N61" i="9"/>
  <c r="N60" i="9"/>
  <c r="M69" i="9"/>
  <c r="N69" i="9" s="1"/>
  <c r="C97" i="82" l="1"/>
  <c r="D58" i="82" s="1"/>
  <c r="D56" i="82" s="1"/>
  <c r="M54" i="82" s="1"/>
  <c r="N57" i="82" s="1"/>
  <c r="C81" i="82"/>
  <c r="N59" i="82" l="1"/>
  <c r="N58" i="82"/>
  <c r="P57" i="82"/>
  <c r="N60" i="82" l="1"/>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<sst xmlns="http://schemas.openxmlformats.org/spreadsheetml/2006/main" count="8580" uniqueCount="3220">
  <si>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</si>
  <si>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</si>
  <si>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</si>
  <si>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</si>
  <si>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</si>
  <si>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</si>
  <si>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</si>
  <si>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</si>
  <si>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</si>
  <si>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</si>
  <si>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</si>
  <si>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</si>
  <si>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</si>
  <si>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</si>
  <si>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</si>
  <si>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</si>
  <si>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</si>
  <si>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</si>
  <si>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</si>
  <si>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</si>
  <si>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</si>
  <si>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</si>
  <si>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</si>
  <si>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</si>
  <si>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</si>
  <si>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</si>
  <si>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</si>
  <si>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</si>
  <si>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</si>
  <si>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</si>
  <si>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</si>
  <si>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</si>
  <si>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</si>
  <si>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</si>
  <si>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</si>
  <si>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</si>
  <si>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</si>
  <si>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</si>
  <si>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</si>
  <si>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</si>
  <si>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</si>
  <si>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</si>
  <si>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</si>
  <si>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</si>
  <si>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</si>
  <si>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</si>
  <si>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</si>
  <si>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</si>
  <si>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</si>
  <si>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</si>
  <si>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</si>
  <si>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</si>
  <si>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</si>
  <si>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</si>
  <si>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</si>
  <si>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</si>
  <si>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</si>
  <si>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</si>
  <si>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</si>
  <si>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</si>
  <si>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</si>
  <si>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</si>
  <si>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</si>
  <si>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</si>
  <si>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</si>
  <si>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</si>
  <si>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</si>
  <si>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</si>
  <si>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</si>
  <si>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</si>
  <si>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</si>
  <si>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</si>
  <si>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</si>
  <si>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</si>
  <si>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</si>
  <si>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</si>
  <si>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</si>
  <si>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</si>
  <si>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</si>
  <si>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</si>
  <si>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</si>
  <si>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</si>
  <si>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</si>
  <si>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</si>
  <si>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</si>
  <si>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</si>
  <si>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</si>
  <si>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</si>
  <si>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</si>
  <si>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</si>
  <si>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</si>
  <si>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</si>
  <si>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</si>
  <si>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</si>
  <si>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</si>
  <si>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</si>
  <si>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</si>
  <si>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</si>
  <si>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</si>
  <si>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</si>
  <si>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</si>
  <si>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</si>
  <si>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</si>
  <si>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</si>
  <si>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</si>
  <si>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</si>
  <si>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</si>
  <si>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</si>
  <si>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</si>
  <si>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</si>
  <si>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</si>
  <si>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</si>
  <si>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</si>
  <si>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</si>
  <si>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</si>
  <si>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</si>
  <si>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</si>
  <si>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</si>
  <si>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</si>
  <si>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</si>
  <si>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</si>
  <si>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</si>
  <si>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</si>
  <si>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</si>
  <si>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</si>
  <si>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</si>
  <si>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</si>
  <si>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</si>
  <si>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</si>
  <si>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</si>
  <si>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</si>
  <si>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</si>
  <si>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</si>
  <si>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</si>
  <si>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</si>
  <si>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</si>
  <si>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</si>
  <si>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</si>
  <si>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</si>
  <si>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</si>
  <si>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</si>
  <si>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</si>
  <si>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</si>
  <si>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</si>
  <si>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</si>
  <si>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</si>
  <si>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</si>
  <si>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</si>
  <si>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</si>
  <si>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</si>
  <si>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</si>
  <si>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</si>
  <si>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</si>
  <si>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</si>
  <si>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</si>
  <si>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</si>
  <si>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</si>
  <si>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</si>
  <si>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</si>
  <si>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</si>
  <si>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</si>
  <si>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</si>
  <si>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</si>
  <si>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</si>
  <si>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</si>
  <si>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</si>
  <si>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</si>
  <si>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</si>
  <si>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</si>
  <si>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</si>
  <si>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</si>
  <si>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</si>
  <si>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</si>
  <si>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</si>
  <si>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</si>
  <si>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</si>
  <si>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</si>
  <si>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</si>
  <si>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</si>
  <si>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</si>
  <si>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</si>
  <si>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</si>
  <si>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</si>
  <si>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</si>
  <si>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</si>
  <si>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</si>
  <si>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</si>
  <si>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</si>
  <si>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</si>
  <si>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</si>
  <si>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</si>
  <si>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</si>
  <si>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</si>
  <si>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</si>
  <si>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</si>
  <si>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</si>
  <si>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</si>
  <si>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</si>
  <si>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</si>
  <si>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</si>
  <si>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</si>
  <si>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</si>
  <si>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</si>
  <si>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</si>
  <si>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</si>
  <si>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</si>
  <si>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</si>
  <si>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</si>
  <si>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</si>
  <si>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</si>
  <si>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</si>
  <si>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</si>
  <si>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</si>
  <si>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</si>
  <si>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</si>
  <si>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</si>
  <si>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</si>
  <si>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</si>
  <si>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</si>
  <si>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</si>
  <si>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</si>
  <si>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</si>
  <si>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</si>
  <si>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</si>
  <si>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</si>
  <si>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</si>
  <si>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</si>
  <si>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</si>
  <si>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</si>
  <si>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</si>
  <si>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</si>
  <si>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</si>
  <si>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</si>
  <si>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</si>
  <si>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</si>
  <si>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</si>
  <si>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</si>
  <si>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</si>
  <si>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</si>
  <si>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</si>
  <si>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</si>
  <si>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</si>
  <si>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</si>
  <si>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</si>
  <si>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</si>
  <si>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</si>
  <si>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</si>
  <si>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</si>
  <si>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</si>
  <si>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</si>
  <si>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</si>
  <si>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</si>
  <si>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</si>
  <si>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</si>
  <si>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</si>
  <si>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</si>
  <si>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</si>
  <si>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</si>
  <si>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</si>
  <si>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</si>
  <si>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</si>
  <si>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</si>
  <si>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</si>
  <si>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</si>
  <si>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</si>
  <si>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</si>
  <si>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</si>
  <si>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</si>
  <si>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</si>
  <si>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</si>
  <si>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</si>
  <si>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</si>
  <si>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</si>
  <si>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</si>
  <si>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</si>
  <si>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</si>
  <si>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</si>
  <si>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</si>
  <si>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</si>
  <si>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</si>
  <si>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</si>
  <si>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</si>
  <si>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</si>
  <si>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</si>
  <si>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</si>
  <si>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</si>
  <si>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</si>
  <si>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</si>
  <si>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</si>
  <si>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</si>
  <si>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</si>
  <si>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</si>
  <si>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</si>
  <si>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</si>
  <si>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</si>
  <si>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</si>
  <si>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</si>
  <si>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</si>
  <si>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</si>
  <si>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</si>
  <si>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</si>
  <si>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</si>
  <si>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</si>
  <si>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</si>
  <si>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</si>
  <si>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</si>
  <si>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</si>
  <si>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</si>
  <si>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</si>
  <si>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</si>
  <si>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</si>
  <si>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</si>
  <si>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</si>
  <si>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</si>
  <si>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</si>
  <si>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</si>
  <si>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</si>
  <si>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</si>
  <si>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</si>
  <si>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</si>
  <si>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</si>
  <si>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</si>
  <si>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</si>
  <si>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</si>
  <si>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</si>
  <si>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</si>
  <si>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</si>
  <si>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</si>
  <si>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</si>
  <si>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</si>
  <si>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</si>
  <si>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</si>
  <si>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</si>
  <si>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</si>
  <si>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</si>
  <si>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</si>
  <si>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</si>
  <si>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</si>
  <si>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</si>
  <si>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</si>
  <si>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</si>
  <si>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</si>
  <si>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</si>
  <si>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</si>
  <si>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</si>
  <si>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</si>
  <si>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</si>
  <si>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</si>
  <si>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</si>
  <si>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</si>
  <si>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</si>
  <si>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</si>
  <si>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</si>
  <si>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</si>
  <si>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</si>
  <si>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</si>
  <si>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</si>
  <si>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</si>
  <si>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</si>
  <si>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</si>
  <si>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</si>
  <si>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</si>
  <si>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</si>
  <si>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</si>
  <si>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</si>
  <si>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</si>
  <si>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</si>
  <si>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</si>
  <si>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</si>
  <si>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</si>
  <si>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</si>
  <si>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</si>
  <si>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</si>
  <si>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</si>
  <si>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</si>
  <si>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</si>
  <si>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</si>
  <si>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</si>
  <si>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</si>
  <si>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</si>
  <si>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</si>
  <si>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</si>
  <si>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</si>
  <si>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</si>
  <si>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</si>
  <si>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</si>
  <si>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</si>
  <si>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</si>
  <si>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</si>
  <si>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</si>
  <si>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</si>
  <si>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</si>
  <si>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</si>
  <si>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</si>
  <si>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</si>
  <si>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</si>
  <si>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</si>
  <si>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</si>
  <si>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</si>
  <si>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</si>
  <si>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</si>
  <si>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</si>
  <si>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</si>
  <si>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</si>
  <si>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</si>
  <si>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</si>
  <si>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</si>
  <si>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</si>
  <si>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</si>
  <si>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</si>
  <si>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</si>
  <si>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</si>
  <si>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</si>
  <si>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</si>
  <si>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</si>
  <si>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</si>
  <si>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</si>
  <si>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</si>
  <si>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</si>
  <si>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</si>
  <si>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</si>
  <si>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</si>
  <si>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</si>
  <si>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</si>
  <si>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</si>
  <si>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</si>
  <si>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</si>
  <si>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</si>
  <si>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</si>
  <si>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</si>
  <si>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</si>
  <si>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</si>
  <si>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</si>
  <si>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</si>
  <si>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</si>
  <si>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</si>
  <si>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</si>
  <si>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</si>
  <si>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</si>
  <si>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</si>
  <si>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</si>
  <si>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</si>
  <si>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</si>
  <si>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</si>
  <si>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</si>
  <si>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</si>
  <si>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</si>
  <si>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</si>
  <si>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</si>
  <si>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</si>
  <si>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</si>
  <si>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</si>
  <si>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</si>
  <si>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</si>
  <si>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</si>
  <si>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</si>
  <si>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</si>
  <si>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</si>
  <si>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</si>
  <si>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</si>
  <si>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</si>
  <si>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</si>
  <si>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</si>
  <si>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</si>
  <si>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</si>
  <si>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</si>
  <si>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</si>
  <si>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</si>
  <si>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</si>
  <si>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</si>
  <si>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</si>
  <si>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</si>
  <si>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</si>
  <si>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</si>
  <si>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</si>
  <si>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</si>
  <si>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</si>
  <si>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</si>
  <si>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</si>
  <si>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</si>
  <si>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</si>
  <si>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</si>
  <si>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</si>
  <si>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</si>
  <si>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</si>
  <si>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</si>
  <si>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</si>
  <si>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</si>
  <si>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</si>
  <si>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</si>
  <si>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</si>
  <si>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</si>
  <si>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</si>
  <si>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</si>
  <si>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</si>
  <si>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</si>
  <si>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</si>
  <si>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</si>
  <si>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</si>
  <si>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</si>
  <si>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</si>
  <si>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</si>
  <si>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</si>
  <si>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</si>
  <si>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</si>
  <si>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</si>
  <si>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</si>
  <si>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</si>
  <si>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</si>
  <si>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</si>
  <si>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</si>
  <si>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</si>
  <si>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</si>
  <si>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</si>
  <si>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</si>
  <si>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</si>
  <si>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</si>
  <si>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</si>
  <si>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</si>
  <si>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</si>
  <si>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</si>
  <si>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</si>
  <si>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</si>
  <si>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</si>
  <si>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</si>
  <si>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</si>
  <si>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</si>
  <si>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</si>
  <si>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</si>
  <si>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</si>
  <si>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</si>
  <si>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</si>
  <si>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</si>
  <si>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</si>
  <si>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</si>
  <si>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</si>
  <si>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</si>
  <si>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</si>
  <si>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</si>
  <si>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</si>
  <si>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</si>
  <si>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</si>
  <si>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</si>
  <si>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</si>
  <si>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</si>
  <si>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</si>
  <si>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</si>
  <si>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</si>
  <si>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</si>
  <si>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</si>
  <si>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</si>
  <si>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</si>
  <si>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</si>
  <si>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</si>
  <si>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</si>
  <si>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</si>
  <si>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</si>
  <si>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</si>
  <si>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</si>
  <si>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</si>
  <si>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</si>
  <si>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</si>
  <si>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</si>
  <si>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</si>
  <si>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</si>
  <si>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</si>
  <si>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</si>
  <si>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</si>
  <si>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</si>
  <si>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</si>
  <si>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</si>
  <si>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</si>
  <si>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</si>
  <si>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</si>
  <si>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</si>
  <si>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</si>
  <si>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</si>
  <si>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</si>
  <si>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</si>
  <si>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</si>
  <si>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</si>
  <si>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</si>
  <si>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</si>
  <si>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</si>
  <si>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</si>
  <si>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</si>
  <si>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</si>
  <si>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</si>
  <si>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</si>
  <si>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</si>
  <si>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</si>
  <si>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</si>
  <si>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</si>
  <si>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</si>
  <si>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</si>
  <si>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</si>
  <si>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</si>
  <si>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</si>
  <si>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</si>
  <si>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</si>
  <si>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</si>
  <si>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</si>
  <si>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</si>
  <si>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</si>
  <si>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</si>
  <si>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</si>
  <si>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</si>
  <si>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</si>
  <si>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</si>
  <si>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</si>
  <si>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</si>
  <si>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</si>
  <si>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</si>
  <si>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</si>
  <si>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</si>
  <si>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</si>
  <si>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</si>
  <si>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</si>
  <si>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</si>
  <si>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</si>
  <si>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</si>
  <si>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</si>
  <si>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</si>
  <si>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</si>
  <si>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</si>
  <si>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</si>
  <si>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</si>
  <si>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</si>
  <si>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</si>
  <si>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</si>
  <si>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</si>
  <si>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</si>
  <si>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</si>
  <si>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</si>
  <si>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</si>
  <si>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</si>
  <si>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</si>
  <si>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</si>
  <si>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</si>
  <si>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</si>
  <si>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</si>
  <si>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</si>
  <si>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</si>
  <si>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</si>
  <si>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</si>
  <si>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</si>
  <si>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</si>
  <si>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</si>
  <si>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</si>
  <si>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</si>
  <si>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</si>
  <si>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</si>
  <si>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</si>
  <si>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</si>
  <si>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</si>
  <si>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</si>
  <si>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</si>
  <si>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</si>
  <si>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</si>
  <si>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</si>
  <si>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</si>
  <si>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</si>
  <si>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</si>
  <si>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</si>
  <si>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</si>
  <si>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</si>
  <si>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</si>
  <si>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</si>
  <si>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</si>
  <si>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</si>
  <si>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</si>
  <si>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</si>
  <si>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</si>
  <si>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</si>
  <si>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</si>
  <si>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</si>
  <si>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</si>
  <si>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</si>
  <si>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</si>
  <si>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</si>
  <si>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</si>
  <si>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</si>
  <si>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</si>
  <si>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</si>
  <si>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</si>
  <si>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</si>
  <si>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</si>
  <si>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</si>
  <si>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</si>
  <si>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</si>
  <si>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</si>
  <si>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</si>
  <si>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</si>
  <si>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</si>
  <si>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</si>
  <si>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</si>
  <si>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</si>
  <si>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</si>
  <si>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</si>
  <si>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</si>
  <si>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</si>
  <si>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</si>
  <si>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</si>
  <si>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</si>
  <si>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</si>
  <si>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</si>
  <si>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</si>
  <si>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</si>
  <si>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</si>
  <si>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</si>
  <si>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</si>
  <si>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</si>
  <si>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</si>
  <si>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</si>
  <si>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</si>
  <si>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</si>
  <si>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</si>
  <si>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</si>
  <si>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</si>
  <si>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</si>
  <si>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</si>
  <si>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</si>
  <si>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</si>
  <si>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</si>
  <si>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</si>
  <si>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</si>
  <si>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</si>
  <si>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</si>
  <si>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</si>
  <si>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</si>
  <si>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</si>
  <si>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</si>
  <si>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</si>
  <si>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</si>
  <si>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</si>
  <si>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</si>
  <si>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</si>
  <si>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</si>
  <si>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</si>
  <si>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</si>
  <si>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</si>
  <si>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</si>
  <si>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</si>
  <si>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</si>
  <si>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</si>
  <si>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</si>
  <si>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</si>
  <si>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</si>
  <si>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</si>
  <si>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</si>
  <si>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</si>
  <si>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</si>
  <si>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</si>
  <si>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</si>
  <si>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</si>
  <si>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</si>
  <si>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</si>
  <si>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</si>
  <si>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</si>
  <si>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</si>
  <si>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</si>
  <si>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</si>
  <si>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</si>
  <si>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</si>
  <si>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</si>
  <si>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</si>
  <si>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</si>
  <si>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</si>
  <si>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</si>
  <si>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</si>
  <si>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</si>
  <si>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</si>
  <si>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</si>
  <si>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</si>
  <si>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</si>
  <si>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</si>
  <si>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</si>
  <si>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</si>
  <si>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</si>
  <si>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</si>
  <si>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</si>
  <si>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</si>
  <si>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</si>
  <si>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</si>
  <si>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</si>
  <si>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</si>
  <si>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</si>
  <si>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</si>
  <si>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</si>
  <si>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</si>
  <si>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</si>
  <si>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</si>
  <si>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</si>
  <si>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</si>
  <si>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</si>
  <si>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</si>
  <si>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</si>
  <si>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</si>
  <si>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</si>
  <si>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</si>
  <si>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</si>
  <si>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</si>
  <si>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</si>
  <si>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</si>
  <si>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</si>
  <si>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</si>
  <si>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</si>
  <si>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</si>
  <si>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</si>
  <si>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</si>
  <si>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</si>
  <si>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</si>
  <si>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</si>
  <si>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</si>
  <si>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</si>
  <si>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</si>
  <si>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</si>
  <si>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</si>
  <si>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</si>
  <si>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</si>
  <si>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</si>
  <si>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</si>
  <si>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</si>
  <si>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</si>
  <si>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</si>
  <si>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</si>
  <si>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</si>
  <si>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</si>
  <si>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</si>
  <si>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</si>
  <si>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</si>
  <si>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</si>
  <si>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</si>
  <si>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</si>
  <si>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</si>
  <si>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</si>
  <si>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</si>
  <si>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</si>
  <si>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</si>
  <si>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</si>
  <si>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</si>
  <si>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</si>
  <si>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</si>
  <si>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</si>
  <si>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</si>
  <si>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</si>
  <si>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</si>
  <si>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</si>
  <si>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</si>
  <si>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</si>
  <si>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</si>
  <si>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</si>
  <si>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</si>
  <si>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</si>
  <si>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</si>
  <si>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</si>
  <si>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</si>
  <si>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</si>
  <si>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</si>
  <si>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</si>
  <si>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</si>
  <si>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</si>
  <si>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</si>
  <si>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</si>
  <si>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</si>
  <si>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</si>
  <si>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</si>
  <si>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</si>
  <si>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</si>
  <si>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</si>
  <si>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</si>
  <si>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</si>
  <si>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</si>
  <si>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</si>
  <si>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</si>
  <si>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</si>
  <si>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</si>
  <si>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</si>
  <si>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</si>
  <si>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</si>
  <si>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</si>
  <si>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</si>
  <si>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</si>
  <si>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</si>
  <si>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</si>
  <si>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</si>
  <si>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</si>
  <si>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</si>
  <si>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</si>
  <si>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</si>
  <si>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</si>
  <si>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</si>
  <si>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</si>
  <si>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</si>
  <si>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</si>
  <si>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</si>
  <si>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</si>
  <si>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</si>
  <si>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</si>
  <si>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</si>
  <si>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</si>
  <si>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</si>
  <si>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</si>
  <si>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</si>
  <si>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</si>
  <si>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</si>
  <si>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</si>
  <si>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</si>
  <si>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</si>
  <si>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</si>
  <si>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</si>
  <si>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</si>
  <si>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</si>
  <si>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</si>
  <si>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</si>
  <si>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</si>
  <si>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</si>
  <si>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</si>
  <si>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</si>
  <si>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</si>
  <si>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</si>
  <si>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</si>
  <si>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</si>
  <si>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</si>
  <si>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</si>
  <si>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</si>
  <si>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</si>
  <si>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</si>
  <si>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</si>
  <si>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</si>
  <si>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</si>
  <si>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</si>
  <si>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</si>
  <si>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</si>
  <si>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</si>
  <si>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</si>
  <si>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</si>
  <si>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</si>
  <si>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</si>
  <si>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</si>
  <si>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</si>
  <si>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</si>
  <si>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</si>
  <si>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</si>
  <si>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</si>
  <si>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</si>
  <si>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</si>
  <si>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</si>
  <si>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</si>
  <si>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</si>
  <si>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</si>
  <si>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</si>
  <si>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</si>
  <si>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</si>
  <si>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</si>
  <si>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</si>
  <si>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</si>
  <si>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</si>
  <si>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</si>
  <si>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</si>
  <si>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</si>
  <si>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</si>
  <si>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</si>
  <si>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</si>
  <si>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</si>
  <si>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</si>
  <si>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</si>
  <si>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</si>
  <si>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</si>
  <si>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</si>
  <si>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</si>
  <si>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</si>
  <si>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</si>
  <si>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</si>
  <si>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</si>
  <si>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</si>
  <si>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</si>
  <si>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</si>
  <si>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</si>
  <si>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</si>
  <si>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</si>
  <si>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</si>
  <si>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</si>
  <si>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</si>
  <si>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</si>
  <si>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</si>
  <si>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</si>
  <si>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</si>
  <si>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</si>
  <si>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</si>
  <si>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</si>
  <si>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</si>
  <si>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</si>
  <si>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</si>
  <si>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</si>
  <si>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</si>
  <si>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</si>
  <si>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</si>
  <si>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</si>
  <si>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</si>
  <si>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</si>
  <si>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</si>
  <si>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</si>
  <si>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</si>
  <si>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</si>
  <si>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</si>
  <si>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</si>
  <si>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</si>
  <si>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</si>
  <si>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</si>
  <si>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</si>
  <si>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</si>
  <si>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</si>
  <si>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</si>
  <si>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</si>
  <si>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</si>
  <si>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</si>
  <si>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</si>
  <si>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</si>
  <si>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</si>
  <si>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</si>
  <si>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</si>
  <si>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</si>
  <si>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</si>
  <si>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</si>
  <si>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</si>
  <si>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</si>
  <si>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</si>
  <si>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</si>
  <si>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</si>
  <si>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</si>
  <si>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</si>
  <si>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</si>
  <si>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</si>
  <si>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</si>
  <si>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</si>
  <si>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</si>
  <si>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</si>
  <si>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</si>
  <si>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</si>
  <si>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</si>
  <si>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</si>
  <si>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</si>
  <si>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</si>
  <si>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</si>
  <si>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</si>
  <si>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</si>
  <si>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</si>
  <si>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</si>
  <si>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</si>
  <si>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</si>
  <si>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</si>
  <si>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</si>
  <si>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</si>
  <si>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</si>
  <si>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</si>
  <si>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</si>
  <si>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</si>
  <si>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</si>
  <si>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</si>
  <si>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</si>
  <si>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</si>
  <si>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</si>
  <si>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</si>
  <si>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</si>
  <si>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</si>
  <si>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</si>
  <si>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</si>
  <si>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</si>
  <si>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</si>
  <si>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</si>
  <si>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</si>
  <si>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</si>
  <si>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</si>
  <si>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</si>
  <si>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</si>
  <si>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</si>
  <si>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</si>
  <si>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</si>
  <si>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</si>
  <si>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</si>
  <si>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</si>
  <si>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</si>
  <si>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</si>
  <si>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</si>
  <si>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</si>
  <si>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</si>
  <si>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</si>
  <si>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</si>
  <si>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</si>
  <si>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</si>
  <si>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</si>
  <si>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</si>
  <si>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</si>
  <si>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</si>
  <si>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</si>
  <si>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</si>
  <si>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</si>
  <si>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</si>
  <si>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</si>
  <si>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</si>
  <si>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</si>
  <si>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</si>
  <si>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</si>
  <si>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</si>
  <si>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</si>
  <si>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</si>
  <si>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</si>
  <si>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</si>
  <si>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</si>
  <si>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</si>
  <si>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</si>
  <si>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</si>
  <si>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</si>
  <si>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</si>
  <si>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</si>
  <si>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</si>
  <si>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</si>
  <si>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</si>
  <si>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</si>
  <si>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</si>
  <si>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</si>
  <si>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</si>
  <si>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</si>
  <si>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</si>
  <si>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</si>
  <si>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</si>
  <si>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</si>
  <si>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</si>
  <si>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</si>
  <si>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</si>
  <si>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</si>
  <si>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</si>
  <si>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</si>
  <si>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</si>
  <si>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</si>
  <si>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</si>
  <si>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</si>
  <si>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</si>
  <si>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</si>
  <si>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</si>
  <si>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</si>
  <si>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</si>
  <si>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</si>
  <si>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</si>
  <si>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</si>
  <si>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</si>
  <si>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</si>
  <si>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</si>
  <si>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</si>
  <si>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</si>
  <si>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</si>
  <si>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</si>
  <si>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</si>
  <si>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</si>
  <si>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</si>
  <si>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</si>
  <si>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</si>
  <si>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</si>
  <si>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</si>
  <si>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</si>
  <si>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</si>
  <si>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</si>
  <si>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</si>
  <si>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</si>
  <si>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</si>
  <si>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</si>
  <si>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</si>
  <si>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</si>
  <si>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</si>
  <si>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</si>
  <si>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</si>
  <si>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</si>
  <si>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</si>
  <si>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</si>
  <si>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</si>
  <si>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</si>
  <si>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</si>
  <si>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</si>
  <si>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</si>
  <si>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</si>
  <si>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</si>
  <si>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</si>
  <si>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</si>
  <si>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</si>
  <si>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</si>
  <si>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</si>
  <si>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</si>
  <si>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</si>
  <si>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</si>
  <si>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</si>
  <si>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</si>
  <si>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</si>
  <si>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</si>
  <si>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</si>
  <si>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</si>
  <si>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</si>
  <si>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</si>
  <si>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</si>
  <si>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</si>
  <si>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</si>
  <si>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</si>
  <si>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</si>
  <si>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</si>
  <si>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</si>
  <si>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</si>
  <si>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</si>
  <si>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</si>
  <si>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</si>
  <si>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</si>
  <si>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</si>
  <si>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</si>
  <si>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</si>
  <si>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</si>
  <si>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</si>
  <si>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</si>
  <si>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</si>
  <si>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</si>
  <si>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</si>
  <si>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</si>
  <si>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</si>
  <si>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</si>
  <si>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</si>
  <si>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</si>
  <si>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</si>
  <si>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</si>
  <si>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</si>
  <si>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</si>
  <si>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</si>
  <si>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</si>
  <si>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</si>
  <si>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</si>
  <si>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</si>
  <si>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</si>
  <si>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</si>
  <si>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</si>
  <si>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</si>
  <si>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</si>
  <si>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</si>
  <si>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</si>
  <si>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</si>
  <si>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</si>
  <si>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</si>
  <si>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</si>
  <si>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</si>
  <si>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</si>
  <si>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</si>
  <si>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</si>
  <si>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</si>
  <si>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</si>
  <si>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</si>
  <si>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</si>
  <si>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</si>
  <si>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</si>
  <si>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</si>
  <si>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</si>
  <si>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</si>
  <si>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</si>
  <si>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</si>
  <si>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</si>
  <si>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</si>
  <si>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</si>
  <si>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</si>
  <si>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</si>
  <si>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</si>
  <si>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</si>
  <si>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</si>
  <si>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</si>
  <si>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</si>
  <si>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</si>
  <si>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</si>
  <si>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</si>
  <si>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</si>
  <si>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</si>
  <si>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</si>
  <si>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</si>
  <si>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</si>
  <si>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</si>
  <si>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</si>
  <si>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</si>
  <si>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</si>
  <si>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</si>
  <si>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</si>
  <si>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</si>
  <si>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</si>
  <si>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</si>
  <si>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</si>
  <si>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</si>
  <si>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</si>
  <si>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</si>
  <si>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</si>
  <si>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</si>
  <si>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</si>
  <si>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</si>
  <si>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</si>
  <si>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</si>
  <si>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</si>
  <si>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</si>
  <si>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</si>
  <si>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</si>
  <si>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</si>
  <si>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</si>
  <si>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</si>
  <si>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</si>
  <si>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</si>
  <si>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</si>
  <si>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</si>
  <si>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</si>
  <si>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</si>
  <si>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</si>
  <si>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</si>
  <si>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</si>
  <si>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</si>
  <si>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</si>
  <si>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</si>
  <si>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</si>
  <si>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</si>
  <si>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</si>
  <si>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</si>
  <si>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</si>
  <si>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</si>
  <si>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</si>
  <si>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</si>
  <si>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</si>
  <si>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</si>
  <si>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</si>
  <si>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</si>
  <si>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</si>
  <si>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</si>
  <si>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</si>
  <si>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</si>
  <si>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</si>
  <si>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</si>
  <si>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</si>
  <si>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</si>
  <si>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</si>
  <si>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</si>
  <si>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</si>
  <si>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</si>
  <si>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</si>
  <si>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</si>
  <si>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</si>
  <si>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</si>
  <si>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</si>
  <si>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</si>
  <si>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</si>
  <si>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</si>
  <si>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</si>
  <si>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</si>
  <si>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</si>
  <si>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</si>
  <si>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</si>
  <si>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</si>
  <si>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</si>
  <si>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</si>
  <si>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</si>
  <si>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</si>
  <si>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</si>
  <si>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</si>
  <si>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</si>
  <si>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</si>
  <si>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</si>
  <si>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</si>
  <si>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</si>
  <si>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</si>
  <si>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</si>
  <si>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</si>
  <si>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</si>
  <si>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</si>
  <si>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</si>
  <si>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</si>
  <si>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</si>
  <si>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</si>
  <si>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</si>
  <si>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</si>
  <si>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</si>
  <si>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</si>
  <si>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</si>
  <si>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</si>
  <si>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</si>
  <si>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</si>
  <si>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</si>
  <si>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</si>
  <si>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</si>
  <si>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</si>
  <si>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</si>
  <si>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</si>
  <si>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</si>
  <si>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</si>
  <si>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</si>
  <si>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</si>
  <si>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</si>
  <si>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</si>
  <si>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</si>
  <si>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</si>
  <si>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</si>
  <si>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</si>
  <si>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</si>
  <si>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</si>
  <si>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</si>
  <si>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</si>
  <si>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</si>
  <si>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</si>
  <si>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</si>
  <si>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</si>
  <si>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</si>
  <si>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</si>
  <si>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</si>
  <si>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</si>
  <si>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</si>
  <si>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</si>
  <si>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</si>
  <si>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</si>
  <si>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</si>
  <si>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</si>
  <si>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</si>
  <si>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</si>
  <si>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</si>
  <si>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</si>
  <si>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</si>
  <si>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</si>
  <si>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</si>
  <si>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</si>
  <si>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</si>
  <si>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</si>
  <si>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</si>
  <si>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</si>
  <si>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</si>
  <si>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</si>
  <si>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</si>
  <si>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</si>
  <si>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</si>
  <si>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</si>
  <si>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</si>
  <si>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</si>
  <si>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</si>
  <si>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</si>
  <si>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</si>
  <si>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</si>
  <si>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</si>
  <si>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</si>
  <si>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</si>
  <si>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</si>
  <si>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</si>
  <si>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</si>
  <si>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</si>
  <si>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</si>
  <si>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</si>
  <si>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</si>
  <si>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</si>
  <si>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</si>
  <si>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</si>
  <si>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</si>
  <si>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</si>
  <si>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</si>
  <si>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</si>
  <si>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</si>
  <si>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</si>
  <si>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</si>
  <si>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</si>
  <si>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</si>
  <si>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</si>
  <si>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</si>
  <si>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</si>
  <si>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</si>
  <si>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</si>
  <si>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</si>
  <si>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</si>
  <si>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</si>
  <si>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</si>
  <si>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</si>
  <si>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</si>
  <si>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</si>
  <si>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</si>
  <si>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</si>
  <si>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</si>
  <si>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</si>
  <si>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</si>
  <si>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</si>
  <si>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</si>
  <si>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</si>
  <si>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</si>
  <si>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</si>
  <si>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</si>
  <si>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</si>
  <si>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</si>
  <si>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</si>
  <si>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</si>
  <si>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</si>
  <si>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</si>
  <si>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</si>
  <si>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</si>
  <si>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</si>
  <si>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</si>
  <si>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</si>
  <si>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</si>
  <si>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</si>
  <si>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</si>
  <si>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</si>
  <si>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</si>
  <si>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</si>
  <si>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</si>
  <si>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</si>
  <si>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</si>
  <si>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</si>
  <si>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</si>
  <si>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</si>
  <si>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</si>
  <si>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</si>
  <si>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</si>
  <si>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</si>
  <si>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</si>
  <si>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</si>
  <si>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</si>
  <si>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</si>
  <si>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</si>
  <si>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</si>
  <si>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</si>
  <si>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</si>
  <si>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</si>
  <si>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</si>
  <si>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</si>
  <si>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</si>
  <si>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</si>
  <si>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</si>
  <si>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</si>
  <si>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</si>
  <si>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</si>
  <si>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</si>
  <si>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</si>
  <si>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</si>
  <si>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</si>
  <si>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</si>
  <si>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</si>
  <si>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</si>
  <si>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</si>
  <si>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</si>
  <si>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</si>
  <si>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</si>
  <si>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</si>
  <si>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</si>
  <si>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</si>
  <si>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</si>
  <si>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</si>
  <si>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</si>
  <si>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</si>
  <si>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</si>
  <si>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</si>
  <si>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</si>
  <si>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</si>
  <si>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</si>
  <si>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</si>
  <si>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</si>
  <si>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</si>
  <si>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</si>
  <si>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</si>
  <si>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</si>
  <si>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</si>
  <si>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</si>
  <si>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</si>
  <si>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</si>
  <si>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</si>
  <si>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</si>
  <si>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</si>
  <si>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</si>
  <si>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</si>
  <si>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</si>
  <si>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</si>
  <si>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</si>
  <si>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</si>
  <si>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</si>
  <si>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</si>
  <si>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</si>
  <si>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</si>
  <si>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</si>
  <si>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</si>
  <si>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</si>
  <si>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</si>
  <si>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</si>
  <si>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</si>
  <si>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</si>
  <si>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</si>
  <si>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</si>
  <si>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</si>
  <si>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</si>
  <si>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</si>
  <si>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</si>
  <si>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</si>
  <si>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</si>
  <si>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</si>
  <si>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</si>
  <si>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</si>
  <si>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</si>
  <si>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</si>
  <si>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</si>
  <si>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</si>
  <si>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</si>
  <si>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</si>
  <si>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</si>
  <si>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</si>
  <si>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</si>
  <si>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</si>
  <si>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</si>
  <si>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</si>
  <si>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</si>
  <si>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</si>
  <si>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</si>
  <si>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</si>
  <si>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</si>
  <si>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</si>
  <si>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</si>
  <si>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</si>
  <si>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</si>
  <si>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</si>
  <si>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</si>
  <si>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</si>
  <si>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</si>
  <si>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</si>
  <si>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</si>
  <si>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</si>
  <si>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</si>
  <si>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</si>
  <si>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</si>
  <si>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</si>
  <si>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</si>
  <si>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</si>
  <si>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</si>
  <si>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</si>
  <si>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</si>
  <si>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</si>
  <si>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</si>
  <si>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</si>
  <si>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</si>
  <si>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</si>
  <si>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</si>
  <si>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</si>
  <si>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</si>
  <si>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</si>
  <si>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</si>
  <si>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</si>
  <si>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</si>
  <si>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</si>
  <si>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</si>
  <si>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</si>
  <si>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</si>
  <si>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</si>
  <si>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</si>
  <si>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</si>
  <si>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</si>
  <si>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</si>
  <si>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</si>
  <si>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</si>
  <si>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</si>
  <si>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</si>
  <si>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</si>
  <si>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</si>
  <si>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</si>
  <si>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</si>
  <si>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</si>
  <si>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</si>
  <si>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</si>
  <si>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</si>
  <si>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</si>
  <si>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</si>
  <si>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</si>
  <si>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</si>
  <si>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</si>
  <si>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</si>
  <si>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</si>
  <si>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</si>
  <si>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</si>
  <si>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</si>
  <si>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</si>
  <si>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</si>
  <si>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</si>
  <si>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</si>
  <si>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</si>
  <si>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</si>
  <si>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</si>
  <si>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</si>
  <si>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</si>
  <si>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</si>
  <si>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</si>
  <si>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</si>
  <si>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</si>
  <si>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</si>
  <si>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</si>
  <si>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</si>
  <si>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</si>
  <si>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</si>
  <si>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</si>
  <si>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</si>
  <si>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</si>
  <si>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</si>
  <si>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</si>
  <si>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</si>
  <si>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</si>
  <si>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</si>
  <si>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</si>
  <si>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</si>
  <si>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</si>
  <si>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</si>
  <si>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</si>
  <si>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</si>
  <si>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</si>
  <si>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</si>
  <si>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</si>
  <si>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</si>
  <si>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</si>
  <si>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</si>
  <si>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</si>
  <si>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</si>
  <si>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</si>
  <si>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</si>
  <si>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</si>
  <si>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</si>
  <si>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</si>
  <si>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</si>
  <si>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</si>
  <si>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</si>
  <si>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</si>
  <si>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</si>
  <si>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</si>
  <si>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</si>
  <si>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</si>
  <si>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</si>
  <si>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</si>
  <si>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</si>
  <si>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</si>
  <si>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</si>
  <si>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</si>
  <si>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</si>
  <si>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</si>
  <si>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</si>
  <si>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</si>
  <si>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</si>
  <si>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</si>
  <si>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</si>
  <si>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</si>
  <si>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</si>
  <si>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</si>
  <si>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</si>
  <si>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</si>
  <si>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</si>
  <si>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</si>
  <si>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</si>
  <si>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</si>
  <si>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</si>
  <si>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</si>
  <si>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</si>
  <si>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</si>
  <si>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</si>
  <si>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</si>
  <si>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</si>
  <si>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</si>
  <si>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</si>
  <si>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</si>
  <si>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</si>
  <si>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</si>
  <si>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</si>
  <si>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</si>
  <si>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</si>
  <si>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</si>
  <si>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</si>
  <si>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</si>
  <si>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</si>
  <si>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</si>
  <si>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</si>
  <si>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</si>
  <si>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</si>
  <si>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</si>
  <si>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</si>
  <si>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</si>
  <si>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</si>
  <si>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</si>
  <si>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</si>
  <si>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</si>
  <si>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</si>
  <si>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</si>
  <si>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</si>
  <si>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</si>
  <si>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</si>
  <si>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</si>
  <si>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</si>
  <si>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</si>
  <si>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</si>
  <si>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</si>
  <si>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</si>
  <si>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</si>
  <si>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</si>
  <si>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</si>
  <si>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</si>
  <si>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</si>
  <si>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</si>
  <si>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</si>
  <si>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</si>
  <si>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</si>
  <si>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</si>
  <si>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</si>
  <si>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</si>
  <si>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</si>
  <si>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</si>
  <si>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</si>
  <si>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</si>
  <si>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</si>
  <si>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</si>
  <si>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</si>
  <si>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</si>
  <si>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</si>
  <si>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</si>
  <si>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</si>
  <si>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</si>
  <si>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</si>
  <si>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</si>
  <si>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</si>
  <si>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</si>
  <si>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</si>
  <si>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</si>
  <si>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</si>
  <si>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</si>
  <si>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</si>
  <si>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</si>
  <si>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</si>
  <si>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</si>
  <si>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</si>
  <si>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</si>
  <si>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</si>
  <si>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</si>
  <si>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</si>
  <si>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</si>
  <si>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</si>
  <si>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</si>
  <si>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</si>
  <si>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</si>
  <si>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</si>
  <si>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</si>
  <si>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</si>
  <si>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</si>
  <si>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</si>
  <si>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</si>
  <si>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</si>
  <si>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</si>
  <si>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</si>
  <si>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</si>
  <si>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</si>
  <si>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</si>
  <si>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</si>
  <si>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</si>
  <si>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</si>
  <si>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</si>
  <si>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</si>
  <si>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</si>
  <si>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</si>
  <si>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</si>
  <si>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</si>
  <si>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</si>
  <si>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</si>
  <si>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</si>
  <si>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</si>
  <si>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</si>
  <si>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</si>
  <si>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</si>
  <si>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</si>
  <si>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</si>
  <si>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</si>
  <si>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</si>
  <si>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</si>
  <si>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</si>
  <si>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</si>
  <si>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</si>
  <si>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</si>
  <si>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</si>
  <si>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</si>
  <si>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</si>
  <si>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</si>
  <si>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</si>
  <si>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</si>
  <si>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</si>
  <si>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</si>
  <si>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</si>
  <si>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</si>
  <si>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</si>
  <si>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</si>
  <si>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</si>
  <si>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</si>
  <si>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</si>
  <si>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</si>
  <si>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</si>
  <si>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</si>
  <si>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</si>
  <si>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</si>
  <si>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</si>
  <si>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</si>
  <si>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</si>
  <si>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</si>
  <si>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</si>
  <si>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</si>
  <si>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</si>
  <si>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</si>
  <si>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</si>
  <si>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</si>
  <si>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</si>
  <si>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</si>
  <si>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</si>
  <si>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</si>
  <si>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</si>
  <si>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</si>
  <si>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</si>
  <si>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</si>
  <si>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</si>
  <si>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</si>
  <si>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</si>
  <si>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</si>
  <si>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</si>
  <si>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</si>
  <si>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</si>
  <si>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</si>
  <si>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</si>
  <si>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</si>
  <si>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</si>
  <si>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</si>
  <si>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</si>
  <si>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</si>
  <si>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</si>
  <si>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</si>
  <si>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</si>
  <si>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</si>
  <si>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</si>
  <si>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</si>
  <si>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</si>
  <si>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</si>
  <si>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</si>
  <si>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</si>
  <si>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</si>
  <si>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</si>
  <si>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</si>
  <si>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</si>
  <si>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</si>
  <si>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</si>
  <si>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</si>
  <si>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</si>
  <si>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</si>
  <si>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</si>
  <si>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</si>
  <si>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</si>
  <si>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</si>
  <si>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</si>
  <si>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</si>
  <si>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</si>
  <si>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</si>
  <si>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</si>
  <si>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</si>
  <si>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</si>
  <si>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</si>
  <si>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</si>
  <si>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</si>
  <si>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</si>
  <si>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</si>
  <si>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</si>
  <si>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</si>
  <si>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</si>
  <si>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</si>
  <si>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</si>
  <si>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</si>
  <si>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</si>
  <si>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</si>
  <si>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</si>
  <si>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</si>
  <si>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</si>
  <si>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</si>
  <si>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</si>
  <si>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</si>
  <si>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</si>
  <si>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</si>
  <si>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</si>
  <si>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</si>
  <si>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</si>
  <si>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</si>
  <si>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</si>
  <si>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</si>
  <si>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</si>
  <si>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</si>
  <si>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</si>
  <si>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</si>
  <si>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</si>
  <si>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</si>
  <si>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</si>
  <si>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</si>
  <si>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</si>
  <si>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</si>
  <si>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</si>
  <si>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</si>
  <si>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</si>
  <si>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</si>
  <si>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</si>
  <si>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</si>
  <si>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</si>
  <si>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</si>
  <si>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</si>
  <si>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</si>
  <si>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</si>
  <si>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</si>
  <si>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</si>
  <si>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</si>
  <si>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</si>
  <si>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</si>
  <si>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</si>
  <si>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</si>
  <si>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</si>
  <si>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</si>
  <si>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</si>
  <si>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</si>
  <si>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</si>
  <si>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</si>
  <si>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</si>
  <si>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</si>
  <si>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</si>
  <si>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</si>
  <si>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</si>
  <si>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</si>
  <si>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</si>
  <si>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</si>
  <si>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</si>
  <si>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</si>
  <si>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</si>
  <si>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</si>
  <si>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</si>
  <si>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</si>
  <si>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</si>
  <si>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</si>
  <si>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</si>
  <si>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</si>
  <si>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</si>
  <si>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</si>
  <si>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</si>
  <si>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</si>
  <si>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</si>
  <si>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</si>
  <si>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</si>
  <si>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</si>
  <si>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</si>
  <si>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</si>
  <si>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</si>
  <si>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</si>
  <si>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</si>
  <si>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</si>
  <si>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</si>
  <si>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</si>
  <si>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</si>
  <si>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</si>
  <si>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</si>
  <si>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</si>
  <si>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</si>
  <si>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</si>
  <si>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</si>
  <si>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</si>
  <si>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</si>
  <si>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</si>
  <si>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</si>
  <si>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</si>
  <si>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</si>
  <si>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</si>
  <si>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</si>
  <si>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</si>
  <si>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</si>
  <si>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</si>
  <si>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</si>
  <si>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</si>
  <si>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</si>
  <si>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</si>
  <si>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</si>
  <si>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</si>
  <si>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</si>
  <si>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</si>
  <si>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</si>
  <si>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</si>
  <si>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</si>
  <si>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</si>
  <si>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</si>
  <si>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</si>
  <si>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</si>
  <si>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</si>
  <si>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</si>
  <si>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</si>
  <si>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</si>
  <si>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</si>
  <si>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</si>
  <si>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</si>
  <si>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</si>
  <si>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</si>
  <si>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</si>
  <si>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</si>
  <si>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</si>
  <si>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</si>
  <si>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</si>
  <si>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</si>
  <si>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</si>
  <si>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</si>
  <si>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</si>
  <si>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</si>
  <si>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</si>
  <si>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</si>
  <si>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</si>
  <si>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</si>
  <si>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</si>
  <si>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</si>
  <si>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</si>
  <si>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</si>
  <si>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</si>
  <si>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</si>
  <si>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</si>
  <si>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</si>
  <si>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</si>
  <si>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</si>
  <si>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</si>
  <si>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</si>
  <si>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</si>
  <si>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</si>
  <si>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</si>
  <si>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</si>
  <si>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</si>
  <si>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</si>
  <si>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</si>
  <si>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</si>
  <si>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</si>
  <si>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</si>
  <si>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</si>
  <si>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</si>
  <si>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</si>
  <si>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</si>
  <si>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</si>
  <si>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</si>
  <si>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</si>
  <si>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</si>
  <si>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</si>
  <si>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</si>
  <si>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</si>
  <si>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</si>
  <si>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</si>
  <si>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</si>
  <si>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</si>
  <si>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</si>
  <si>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</si>
  <si>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</si>
  <si>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</si>
  <si>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</si>
  <si>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</si>
  <si>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</si>
  <si>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</si>
  <si>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</si>
  <si>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</si>
  <si>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</si>
  <si>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</si>
  <si>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</si>
  <si>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</si>
  <si>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</si>
  <si>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</si>
  <si>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</si>
  <si>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</si>
  <si>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</si>
  <si>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</si>
  <si>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</si>
  <si>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</si>
  <si>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</si>
  <si>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</si>
  <si>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</si>
  <si>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</si>
  <si>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</si>
  <si>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</si>
  <si>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</si>
  <si>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</si>
  <si>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</si>
  <si>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</si>
  <si>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</si>
  <si>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</si>
  <si>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</si>
  <si>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</si>
  <si>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</si>
  <si>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</si>
  <si>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</si>
  <si>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</si>
  <si>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</si>
  <si>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</si>
  <si>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</si>
  <si>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</si>
  <si>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</si>
  <si>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</si>
  <si>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</si>
  <si>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</si>
  <si>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</si>
  <si>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</si>
  <si>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</si>
  <si>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</si>
  <si>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</si>
  <si>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</si>
  <si>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</si>
  <si>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</si>
  <si>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</si>
  <si>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</si>
  <si>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</si>
  <si>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</si>
  <si>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</si>
  <si>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</si>
  <si>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</si>
  <si>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</si>
  <si>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</si>
  <si>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</si>
  <si>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</si>
  <si>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</si>
  <si>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</si>
  <si>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</si>
  <si>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</si>
  <si>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</si>
  <si>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</si>
  <si>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</si>
  <si>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</si>
  <si>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</si>
  <si>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</si>
  <si>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</si>
  <si>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</si>
  <si>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</si>
  <si>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</si>
  <si>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</si>
  <si>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</si>
  <si>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</si>
  <si>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</si>
  <si>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</si>
  <si>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</si>
  <si>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</si>
  <si>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</si>
  <si>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</si>
  <si>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</si>
  <si>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</si>
  <si>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</si>
  <si>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</si>
  <si>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</si>
  <si>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</si>
  <si>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</si>
  <si>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</si>
  <si>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</si>
  <si>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</si>
  <si>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</si>
  <si>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</si>
  <si>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</si>
  <si>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</si>
  <si>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</si>
  <si>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</si>
  <si>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</si>
  <si>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</si>
  <si>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</si>
  <si>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</si>
  <si>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</si>
  <si>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</si>
  <si>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</si>
  <si>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</si>
  <si>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</si>
  <si>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</si>
  <si>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</si>
  <si>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</si>
  <si>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</si>
  <si>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</si>
  <si>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</si>
  <si>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</si>
  <si>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</si>
  <si>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</si>
  <si>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</si>
  <si>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</si>
  <si>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</si>
  <si>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</si>
  <si>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</si>
  <si>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</si>
  <si>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</si>
  <si>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</si>
  <si>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</si>
  <si>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</si>
  <si>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</si>
  <si>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</si>
  <si>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</si>
  <si>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</si>
  <si>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</si>
  <si>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</si>
  <si>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</si>
  <si>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</si>
  <si>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</si>
  <si>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</si>
  <si>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</si>
  <si>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</si>
  <si>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</si>
  <si>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</si>
  <si>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</si>
  <si>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</si>
  <si>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</si>
  <si>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</si>
  <si>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</si>
  <si>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</si>
  <si>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</si>
  <si>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</si>
  <si>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</si>
  <si>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</si>
  <si>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</si>
  <si>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</si>
  <si>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</si>
  <si>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</si>
  <si>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</si>
  <si>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</si>
  <si>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</si>
  <si>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</si>
  <si>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</si>
  <si>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</si>
  <si>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</si>
  <si>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</si>
  <si>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</si>
  <si>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</si>
  <si>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</si>
  <si>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</si>
  <si>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</si>
  <si>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</si>
  <si>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</si>
  <si>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</si>
  <si>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</si>
  <si>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</si>
  <si>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</si>
  <si>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</si>
  <si>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</si>
  <si>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</si>
  <si>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</si>
  <si>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</si>
  <si>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</si>
  <si>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</si>
  <si>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</si>
  <si>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</si>
  <si>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</si>
  <si>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</si>
  <si>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</si>
  <si>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</si>
  <si>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</si>
  <si>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</si>
  <si>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</si>
  <si>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</si>
  <si>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</si>
  <si>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</si>
  <si>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</si>
  <si>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</si>
  <si>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</si>
  <si>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</si>
  <si>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</si>
  <si>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</si>
  <si>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</si>
  <si>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</si>
  <si>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</si>
  <si>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</si>
  <si>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</si>
  <si>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</si>
  <si>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</si>
  <si>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</si>
  <si>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</si>
  <si>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</si>
  <si>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</si>
  <si>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</si>
  <si>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</si>
  <si>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</si>
  <si>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</si>
  <si>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</si>
  <si>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</si>
  <si>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</si>
  <si>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</si>
  <si>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</si>
  <si>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</si>
  <si>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</si>
  <si>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</si>
  <si>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</si>
  <si>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</si>
  <si>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</si>
  <si>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</si>
  <si>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</si>
  <si>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</si>
  <si>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</si>
  <si>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</si>
  <si>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</si>
  <si>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</si>
  <si>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</si>
  <si>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</si>
  <si>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</si>
  <si>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</si>
  <si>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</si>
  <si>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</si>
  <si>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</si>
  <si>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</si>
  <si>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</si>
  <si>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</si>
  <si>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</si>
  <si>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</si>
  <si>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</si>
  <si>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</si>
  <si>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</si>
  <si>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</si>
  <si>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</si>
  <si>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</si>
  <si>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</si>
  <si>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</si>
  <si>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</si>
  <si>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</si>
  <si>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</si>
  <si>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</si>
  <si>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</si>
  <si>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</si>
  <si>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</si>
  <si>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</si>
  <si>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</si>
  <si>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</si>
  <si>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</si>
  <si>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</si>
  <si>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</si>
  <si>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</si>
  <si>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</si>
  <si>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</si>
  <si>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</si>
  <si>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</si>
  <si>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</si>
  <si>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</si>
  <si>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</si>
  <si>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</si>
  <si>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</si>
  <si>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</si>
  <si>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</si>
  <si>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</si>
  <si>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</si>
  <si>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</si>
  <si>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</si>
  <si>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</si>
  <si>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</si>
  <si>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</si>
  <si>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</si>
  <si>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</si>
  <si>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</si>
  <si>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</si>
  <si>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</si>
  <si>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</si>
  <si>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</si>
  <si>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</si>
  <si>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</si>
  <si>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</si>
  <si>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</si>
  <si>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</si>
  <si>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</si>
  <si>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</si>
  <si>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</si>
  <si>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</si>
  <si>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</si>
  <si>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</si>
  <si>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</si>
  <si>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</si>
  <si>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</si>
  <si>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</si>
  <si>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</si>
  <si>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</si>
  <si>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</si>
  <si>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</si>
  <si>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</si>
  <si>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</si>
  <si>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</si>
  <si>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</si>
  <si>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</si>
  <si>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</si>
  <si>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</si>
  <si>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</si>
  <si>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</si>
  <si>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</si>
  <si>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</si>
  <si>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</si>
  <si>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</si>
  <si>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</si>
  <si>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</si>
  <si>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</si>
  <si>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</si>
  <si>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</si>
  <si>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</si>
  <si>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</si>
  <si>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</si>
  <si>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</si>
  <si>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</si>
  <si>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</si>
  <si>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</si>
  <si>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</si>
  <si>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</si>
  <si>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</si>
  <si>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</si>
  <si>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</si>
  <si>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</si>
  <si>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</si>
  <si>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</si>
  <si>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</si>
  <si>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</si>
  <si>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</si>
  <si>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</si>
  <si>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</si>
  <si>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</si>
  <si>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</si>
  <si>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</si>
  <si>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</si>
  <si>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</si>
  <si>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</si>
  <si>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</si>
  <si>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</si>
  <si>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</si>
  <si>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</si>
  <si>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</si>
  <si>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</si>
  <si>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</si>
  <si>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</si>
  <si>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</si>
  <si>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</si>
  <si>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</si>
  <si>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</si>
  <si>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</si>
  <si>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</si>
  <si>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</si>
  <si>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</si>
  <si>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</si>
  <si>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</si>
  <si>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</si>
  <si>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</si>
  <si>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</si>
  <si>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</si>
  <si>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</si>
  <si>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</si>
  <si>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</si>
  <si>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</si>
  <si>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</si>
  <si>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</si>
  <si>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</si>
  <si>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</si>
  <si>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</si>
  <si>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</si>
  <si>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</si>
  <si>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</si>
  <si>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</si>
  <si>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</si>
  <si>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</si>
  <si>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</si>
  <si>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</si>
  <si>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</si>
  <si>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</si>
  <si>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</si>
  <si>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</si>
  <si>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</si>
  <si>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</si>
  <si>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</si>
  <si>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</si>
  <si>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</si>
  <si>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</si>
  <si>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</si>
  <si>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</si>
  <si>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</si>
  <si>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</si>
  <si>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</si>
  <si>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</si>
  <si>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</si>
  <si>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</si>
  <si>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</si>
  <si>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</si>
  <si>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</si>
  <si>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</si>
  <si>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</si>
  <si>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</si>
  <si>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</si>
  <si>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</si>
  <si>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</si>
  <si>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</si>
  <si>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</si>
  <si>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</si>
  <si>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</si>
  <si>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</si>
  <si>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</si>
  <si>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</si>
  <si>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</si>
  <si>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</si>
  <si>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</si>
  <si>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</si>
  <si>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</si>
  <si>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</si>
  <si>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</si>
  <si>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</si>
  <si>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</si>
  <si>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</si>
  <si>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</si>
  <si>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</si>
  <si>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</si>
  <si>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</si>
  <si>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</si>
  <si>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</si>
  <si>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</si>
  <si>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</si>
  <si>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</si>
  <si>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</si>
  <si>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</si>
  <si>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</si>
  <si>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</si>
  <si>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</si>
  <si>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</si>
  <si>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</si>
  <si>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</si>
  <si>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</si>
  <si>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</si>
  <si>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</si>
  <si>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</si>
  <si>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</si>
  <si>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</si>
  <si>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</si>
  <si>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</si>
  <si>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</si>
  <si>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</si>
  <si>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</si>
  <si>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</si>
  <si>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</si>
  <si>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</si>
  <si>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</si>
  <si>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</si>
  <si>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</si>
  <si>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</si>
  <si>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</si>
  <si>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</si>
  <si>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</si>
  <si>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</si>
  <si>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</si>
  <si>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</si>
  <si>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</si>
  <si>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</si>
  <si>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</si>
  <si>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</si>
  <si>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</si>
  <si>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</si>
  <si>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</si>
  <si>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</si>
  <si>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</si>
  <si>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</si>
  <si>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</si>
  <si>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</si>
  <si>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</si>
  <si>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</si>
  <si>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</si>
  <si>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</si>
  <si>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</si>
  <si>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</si>
  <si>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</si>
  <si>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</si>
  <si>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</si>
  <si>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</si>
  <si>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</si>
  <si>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</si>
  <si>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</si>
  <si>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</si>
  <si>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</si>
  <si>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</si>
  <si>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</si>
  <si>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</si>
  <si>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</si>
  <si>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</si>
  <si>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</si>
  <si>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</si>
  <si>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</si>
  <si>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</si>
  <si>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</si>
  <si>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</si>
  <si>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</si>
  <si>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</si>
  <si>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</si>
  <si>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</si>
  <si>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</si>
  <si>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</si>
  <si>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</si>
  <si>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</si>
  <si>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</si>
  <si>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</si>
  <si>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</si>
  <si>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</si>
  <si>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</si>
  <si>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</si>
  <si>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</si>
  <si>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</si>
  <si>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</si>
  <si>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</si>
  <si>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</si>
  <si>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</si>
  <si>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</si>
  <si>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</si>
  <si>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</si>
  <si>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</si>
  <si>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</si>
  <si>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</si>
  <si>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</si>
  <si>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</si>
  <si>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</si>
  <si>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</si>
  <si>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</si>
  <si>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</si>
  <si>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</si>
  <si>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</si>
  <si>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</si>
  <si>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</si>
  <si>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</si>
  <si>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</si>
  <si>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</si>
  <si>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</si>
  <si>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</si>
  <si>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</si>
  <si>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</si>
  <si>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</si>
  <si>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</si>
  <si>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</si>
  <si>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</si>
  <si>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</si>
  <si>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</si>
  <si>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</si>
  <si>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</si>
  <si>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</si>
  <si>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</si>
  <si>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</si>
  <si>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</si>
  <si>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</si>
  <si>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</si>
  <si>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</si>
  <si>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</si>
  <si>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</si>
  <si>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</si>
  <si>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</si>
  <si>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</si>
  <si>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</si>
  <si>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</si>
  <si>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</si>
  <si>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</si>
  <si>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</si>
  <si>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</si>
  <si>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</si>
  <si>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</si>
  <si>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</si>
  <si>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</si>
  <si>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</si>
  <si>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</si>
  <si>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</si>
  <si>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</si>
  <si>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</si>
  <si>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</si>
  <si>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</si>
  <si>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</si>
  <si>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</si>
  <si>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</si>
  <si>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</si>
  <si>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</si>
  <si>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</si>
  <si>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</si>
  <si>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</si>
  <si>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</si>
  <si>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</si>
  <si>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</si>
  <si>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</si>
  <si>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</si>
  <si>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</si>
  <si>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</si>
  <si>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</si>
  <si>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</si>
  <si>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</si>
  <si>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</si>
  <si>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</si>
  <si>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</si>
  <si>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</si>
  <si>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</si>
  <si>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</si>
  <si>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</si>
  <si>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</si>
  <si>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</si>
  <si>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</si>
  <si>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</si>
  <si>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</si>
  <si>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</si>
  <si>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</si>
  <si>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</si>
  <si>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</si>
  <si>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</si>
  <si>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</si>
  <si>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</si>
  <si>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</si>
  <si>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</si>
  <si>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</si>
  <si>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</si>
  <si>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</si>
  <si>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</si>
  <si>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</si>
  <si>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</si>
  <si>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</si>
  <si>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</si>
  <si>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</si>
  <si>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</si>
  <si>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</si>
  <si>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</si>
  <si>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</si>
  <si>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</si>
  <si>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</si>
  <si>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</si>
  <si>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</si>
  <si>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</si>
  <si>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</si>
  <si>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</si>
  <si>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</si>
  <si>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</si>
  <si>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</si>
  <si>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</si>
  <si>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</si>
  <si>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</si>
  <si>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</si>
  <si>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</si>
  <si>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</si>
  <si>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</si>
  <si>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</si>
  <si>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</si>
  <si>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</si>
  <si>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</si>
  <si>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</si>
  <si>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</si>
  <si>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</si>
  <si>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</si>
  <si>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</si>
  <si>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</si>
  <si>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</si>
  <si>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</si>
  <si>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</si>
  <si>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</si>
  <si>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</si>
  <si>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</si>
  <si>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</si>
  <si>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</si>
  <si>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</si>
  <si>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</si>
  <si>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</si>
  <si>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</si>
  <si>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</si>
  <si>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</si>
  <si>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</si>
  <si>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</si>
  <si>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</si>
  <si>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</si>
  <si>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</si>
  <si>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</si>
  <si>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</si>
  <si>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</si>
  <si>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</si>
  <si>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</si>
  <si>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</si>
  <si>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</si>
  <si>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</si>
  <si>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</si>
  <si>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</si>
  <si>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</si>
  <si>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</si>
  <si>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</si>
  <si>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</si>
  <si>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</si>
  <si>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</si>
  <si>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</si>
  <si>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</si>
  <si>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</si>
  <si>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</si>
  <si>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</si>
  <si>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</si>
  <si>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</si>
  <si>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</si>
  <si>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</si>
  <si>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</si>
  <si>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</si>
  <si>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</si>
  <si>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</si>
  <si>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</si>
  <si>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</si>
  <si>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</si>
  <si>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</si>
  <si>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</si>
  <si>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</si>
  <si>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</si>
  <si>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</si>
  <si>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</si>
  <si>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</si>
  <si>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</si>
  <si>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</si>
  <si>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</si>
  <si>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</si>
  <si>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</si>
  <si>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</si>
  <si>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</si>
  <si>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</si>
  <si>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</si>
  <si>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</si>
  <si>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</si>
  <si>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</si>
  <si>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</si>
  <si>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</si>
  <si>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</si>
  <si>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</si>
  <si>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</si>
  <si>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</si>
  <si>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</si>
  <si>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</si>
  <si>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</si>
  <si>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</si>
  <si>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</si>
  <si>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</si>
  <si>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</si>
  <si>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</si>
  <si>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</si>
  <si>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</si>
  <si>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</si>
  <si>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</si>
  <si>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</si>
  <si>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</si>
  <si>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</si>
  <si>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</si>
  <si>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</si>
  <si>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</si>
  <si>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</si>
  <si>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</si>
  <si>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</si>
  <si>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</si>
  <si>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</si>
  <si>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</si>
  <si>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</si>
  <si>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</si>
  <si>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</si>
  <si>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</si>
  <si>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</si>
  <si>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</si>
  <si>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</si>
  <si>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</si>
  <si>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</si>
  <si>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</si>
  <si>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</si>
  <si>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</si>
  <si>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</si>
  <si>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</si>
  <si>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</si>
  <si>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</si>
  <si>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</si>
  <si>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</si>
  <si>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</si>
  <si>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</si>
  <si>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</si>
  <si>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</si>
  <si>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</si>
  <si>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</si>
  <si>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</si>
  <si>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</si>
  <si>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</si>
  <si>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</si>
  <si>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</si>
  <si>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</si>
  <si>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</si>
  <si>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</si>
  <si>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</si>
  <si>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</si>
  <si>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</si>
  <si>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</si>
  <si>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</si>
  <si>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</si>
  <si>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</si>
  <si>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</si>
  <si>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</si>
  <si>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</si>
  <si>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</si>
  <si>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</si>
  <si>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</si>
  <si>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</si>
  <si>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</si>
  <si>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</si>
  <si>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</si>
  <si>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</si>
  <si>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</si>
  <si>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</si>
  <si>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</si>
  <si>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</si>
  <si>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</si>
  <si>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</si>
  <si>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</si>
  <si>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</si>
  <si>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</si>
  <si>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</si>
  <si>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</si>
  <si>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</si>
  <si>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</si>
  <si>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</si>
  <si>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</si>
  <si>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</si>
  <si>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</si>
  <si>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</si>
  <si>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</si>
  <si>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</si>
  <si>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</si>
  <si>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</si>
  <si>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</si>
  <si>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</si>
  <si>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</si>
  <si>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</si>
  <si>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</si>
  <si>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</si>
  <si>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</si>
  <si>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</si>
  <si>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</si>
  <si>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</si>
  <si>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</si>
  <si>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</si>
  <si>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</si>
  <si>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</si>
  <si>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</si>
  <si>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</si>
  <si>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</si>
  <si>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</si>
  <si>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</si>
  <si>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</si>
  <si>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</si>
  <si>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</si>
  <si>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</si>
  <si>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</si>
  <si>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</si>
  <si>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</si>
  <si>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</si>
  <si>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</si>
  <si>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</si>
  <si>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</si>
  <si>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</si>
  <si>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</si>
  <si>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</si>
  <si>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</si>
  <si>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</si>
  <si>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</si>
  <si>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</si>
  <si>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</si>
  <si>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</si>
  <si>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</si>
  <si>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</si>
  <si>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</si>
  <si>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</si>
  <si>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</si>
  <si>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</si>
  <si>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</si>
  <si>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</si>
  <si>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</si>
  <si>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</si>
  <si>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</si>
  <si>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</si>
  <si>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</si>
  <si>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</si>
  <si>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</si>
  <si>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</si>
  <si>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</si>
  <si>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</si>
  <si>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</si>
  <si>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</si>
  <si>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</si>
  <si>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</si>
  <si>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</si>
  <si>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</si>
  <si>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</si>
  <si>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</si>
  <si>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</si>
  <si>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</si>
  <si>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</si>
  <si>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</si>
  <si>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</si>
  <si>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</si>
  <si>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</si>
  <si>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</si>
  <si>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</si>
  <si>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</si>
  <si>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</si>
  <si>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</si>
  <si>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</si>
  <si>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</si>
  <si>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</si>
  <si>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</si>
  <si>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</si>
  <si>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</si>
  <si>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</si>
  <si>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</si>
  <si>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</si>
  <si>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</si>
  <si>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</si>
  <si>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</si>
  <si>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</si>
  <si>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</si>
  <si>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</si>
  <si>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</si>
  <si>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</si>
  <si>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</si>
  <si>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</si>
  <si>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</si>
  <si>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</si>
  <si>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</si>
  <si>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</si>
  <si>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</si>
  <si>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</si>
  <si>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</si>
  <si>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</si>
  <si>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</si>
  <si>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</si>
  <si>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</si>
  <si>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</si>
  <si>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</si>
  <si>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</si>
  <si>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</si>
  <si>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</si>
  <si>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</si>
  <si>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</si>
  <si>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</si>
  <si>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</si>
  <si>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</si>
  <si>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</si>
  <si>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</si>
  <si>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</si>
  <si>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</si>
  <si>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</si>
  <si>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</si>
  <si>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</si>
  <si>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</si>
  <si>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</si>
  <si>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</si>
  <si>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</si>
  <si>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</si>
  <si>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</si>
  <si>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</si>
  <si>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</si>
  <si>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</si>
  <si>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</si>
  <si>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</si>
  <si>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</si>
  <si>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</si>
  <si>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</si>
  <si>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</si>
  <si>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</si>
  <si>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</si>
  <si>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</si>
  <si>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</si>
  <si>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</si>
  <si>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</si>
  <si>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</si>
  <si>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</si>
  <si>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</si>
  <si>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</si>
  <si>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</si>
  <si>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</si>
  <si>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</si>
  <si>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</si>
  <si>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</si>
  <si>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</si>
  <si>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</si>
  <si>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</si>
  <si>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</si>
  <si>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</si>
  <si>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</si>
  <si>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</si>
  <si>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</si>
  <si>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</si>
  <si>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</si>
  <si>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</si>
  <si>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</si>
  <si>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</si>
  <si>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</si>
  <si>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</si>
  <si>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</si>
  <si>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</si>
  <si>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</si>
  <si>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</si>
  <si>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</si>
  <si>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</si>
  <si>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</si>
  <si>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</si>
  <si>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</si>
  <si>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</si>
  <si>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</si>
  <si>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</si>
  <si>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</si>
  <si>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</si>
  <si>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是</t>
  </si>
  <si>
    <t>成新度</t>
  </si>
  <si>
    <t>收益法</t>
  </si>
  <si>
    <t>利息：取LPR加浮动点数</t>
  </si>
  <si>
    <t>押一</t>
  </si>
  <si>
    <t>按租金收入计税</t>
  </si>
  <si>
    <t>砖混</t>
  </si>
  <si>
    <t>非生产用房</t>
  </si>
  <si>
    <t>成本法</t>
  </si>
  <si>
    <t>未包含在土地购买价格中</t>
  </si>
  <si>
    <t>已包含在土地取得成本中</t>
  </si>
  <si>
    <t>单位面积地价</t>
  </si>
  <si>
    <t>车库</t>
  </si>
  <si>
    <t>收益法-车库</t>
  </si>
  <si>
    <t>收益法-车库</t>
    <phoneticPr fontId="16" type="noConversion"/>
  </si>
  <si>
    <t>自定义</t>
  </si>
  <si>
    <t>售价</t>
  </si>
  <si>
    <t>总价</t>
  </si>
  <si>
    <t>成本比率</t>
  </si>
  <si>
    <t>情况3</t>
  </si>
  <si>
    <t>正常</t>
  </si>
  <si>
    <t>自行开发建设</t>
  </si>
  <si>
    <t>非个人房产</t>
  </si>
  <si>
    <t>全部缴纳</t>
  </si>
  <si>
    <t>公共租赁住房</t>
    <phoneticPr fontId="16" type="noConversion"/>
  </si>
  <si>
    <t>钢混</t>
  </si>
  <si>
    <t>基准地价</t>
  </si>
  <si>
    <t>情况4</t>
  </si>
  <si>
    <t>转让取得</t>
  </si>
  <si>
    <t>买卖合同</t>
  </si>
  <si>
    <t>2016年5月1日前购买</t>
  </si>
  <si>
    <t>出让</t>
  </si>
  <si>
    <t>独栋</t>
  </si>
  <si>
    <t>商业</t>
    <phoneticPr fontId="7" type="noConversion"/>
  </si>
  <si>
    <t>地下</t>
  </si>
  <si>
    <t>车库—商业</t>
  </si>
  <si>
    <t>机械车位</t>
  </si>
  <si>
    <t>机械车位</t>
    <phoneticPr fontId="16" type="noConversion"/>
  </si>
  <si>
    <t>收益法-机械车位</t>
    <phoneticPr fontId="16" type="noConversion"/>
  </si>
  <si>
    <t>建筑面积</t>
  </si>
  <si>
    <t>土地面积</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</si>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</sst>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04" fillId="5" borderId="23"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1" fontId="104" fillId="5" borderId="1"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97" fontId="46" fillId="0" borderId="0" xfId="0" applyNumberFormat="1" applyFo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70" fillId="6" borderId="1" xfId="0" applyFont="1" applyFill="1" applyBorder="1" applyAlignment="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31" fillId="6" borderId="2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21830;&#1999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7">
          <cell r="E37">
            <v>3489</v>
          </cell>
        </row>
        <row r="42">
          <cell r="E4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G24">
            <v>0.05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北京市房地产抵押价值预评估</v>
      </c>
    </row>
    <row r="3" spans="1:2" s="1315" customFormat="1">
      <c r="A3" s="1313" t="s">
        <v>948</v>
      </c>
      <c r="B3" s="1314">
        <f>'预评函-封皮'!B40</f>
        <v>0</v>
      </c>
    </row>
    <row r="4" spans="1:2" s="1315" customFormat="1">
      <c r="A4" s="1313" t="s">
        <v>949</v>
      </c>
      <c r="B4" s="1314" t="str">
        <f>'预评函-封皮'!B46</f>
        <v>（注册号：0)、（注册号：0)</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受贵公司委托，我公司对北京市房地产抵押价值进行了预评估。</v>
      </c>
    </row>
    <row r="7" spans="1:2" s="1315" customFormat="1">
      <c r="A7" s="1313" t="s">
        <v>991</v>
      </c>
      <c r="B7" s="1314" t="str">
        <f>'预评函-1'!A7</f>
        <v>估价对象为北京市房地产，为所有。根据《国有土地使用证》[]，估价对象（分摊）出让国有建设用地使用权面积为0平方米，建筑面积为3836.12平方米。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估价对象为北京市房地产,属开发建设的，该项目尚在开发建设中。根据《国有土地使用证》[]，估价对象（分摊）出让国有建设用地使用权面积为0平方米，规划建筑面积为3836.12平方米。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2022年8月15日</v>
      </c>
    </row>
    <row r="13" spans="1:2" s="1315" customFormat="1">
      <c r="A13" s="1313" t="s">
        <v>954</v>
      </c>
      <c r="B13" s="1314" t="str">
        <f>'预评函-1'!A18</f>
        <v>本次估价的“房地产价值”是指在正常市场情况下，在价值时点2022年8月15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本次评估采用的主估价方法为成本法和收益法。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7733</v>
      </c>
    </row>
    <row r="21" spans="1:2" s="1315" customFormat="1">
      <c r="A21" s="1313" t="s">
        <v>962</v>
      </c>
      <c r="B21" s="1314">
        <f ca="1">'预评函-2'!D7</f>
        <v>20158</v>
      </c>
    </row>
    <row r="22" spans="1:2" s="1315" customFormat="1">
      <c r="A22" s="1313" t="s">
        <v>963</v>
      </c>
      <c r="B22" s="1314" t="str">
        <f ca="1">'预评函-2'!D6</f>
        <v>柒仟柒佰叁拾叁万元整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7733</v>
      </c>
    </row>
    <row r="31" spans="1:2" s="1315" customFormat="1">
      <c r="A31" s="1313" t="s">
        <v>1001</v>
      </c>
      <c r="B31" s="1314">
        <f ca="1">'预评函-2'!D15</f>
        <v>20158</v>
      </c>
    </row>
    <row r="32" spans="1:2" s="1315" customFormat="1">
      <c r="A32" s="1313" t="s">
        <v>968</v>
      </c>
      <c r="B32" s="1314" t="str">
        <f ca="1">'预评函-2'!D14</f>
        <v>柒仟柒佰叁拾叁万元整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北京市房地产</v>
      </c>
    </row>
    <row r="42" spans="1:2" s="1315" customFormat="1">
      <c r="A42" s="1313" t="s">
        <v>1015</v>
      </c>
      <c r="B42" s="1314" t="str">
        <f>'预评函-3'!B2</f>
        <v>建筑面积</v>
      </c>
    </row>
    <row r="43" spans="1:2" s="1315" customFormat="1">
      <c r="A43" s="1313" t="s">
        <v>1016</v>
      </c>
      <c r="B43" s="1314">
        <f>'预评函-3'!B4</f>
        <v>3836.1200000000003</v>
      </c>
    </row>
    <row r="44" spans="1:2" s="1315" customFormat="1">
      <c r="A44" s="1313" t="s">
        <v>1000</v>
      </c>
      <c r="B44" s="1314" t="str">
        <f>'预评函-3'!C2</f>
        <v>(分摊)土地面积</v>
      </c>
    </row>
    <row r="45" spans="1:2" s="1315" customFormat="1">
      <c r="A45" s="1313" t="s">
        <v>972</v>
      </c>
      <c r="B45" s="1314">
        <f>'预评函-3'!C4</f>
        <v>0</v>
      </c>
    </row>
    <row r="46" spans="1:2" s="1315" customFormat="1">
      <c r="A46" s="1313" t="s">
        <v>998</v>
      </c>
      <c r="B46" s="1314" t="str">
        <f>'预评函-3'!D2</f>
        <v>出让国有建设用地使用权价值</v>
      </c>
    </row>
    <row r="47" spans="1:2" s="1315" customFormat="1">
      <c r="A47" s="1313" t="s">
        <v>973</v>
      </c>
      <c r="B47" s="1314">
        <f ca="1">'预评函-3'!D4</f>
        <v>5266</v>
      </c>
    </row>
    <row r="48" spans="1:2" s="1315" customFormat="1">
      <c r="A48" s="1313" t="s">
        <v>974</v>
      </c>
      <c r="B48" s="1314">
        <f ca="1">'预评函-3'!E4</f>
        <v>13727</v>
      </c>
    </row>
    <row r="49" spans="1:2" s="1315" customFormat="1">
      <c r="A49" s="1313" t="s">
        <v>975</v>
      </c>
      <c r="B49" s="1314" t="str">
        <f ca="1">'预评函-3'!D5</f>
        <v>伍仟贰佰陆拾陆万元整</v>
      </c>
    </row>
    <row r="50" spans="1:2" s="1315" customFormat="1">
      <c r="A50" s="1313" t="s">
        <v>999</v>
      </c>
      <c r="B50" s="1314" t="str">
        <f>'预评函-3'!F2</f>
        <v>在建建筑物价值</v>
      </c>
    </row>
    <row r="51" spans="1:2" s="1315" customFormat="1">
      <c r="A51" s="1313" t="s">
        <v>976</v>
      </c>
      <c r="B51" s="1314">
        <f ca="1">'预评函-3'!F4</f>
        <v>2467</v>
      </c>
    </row>
    <row r="52" spans="1:2" s="1315" customFormat="1">
      <c r="A52" s="1313" t="s">
        <v>977</v>
      </c>
      <c r="B52" s="1314">
        <f ca="1">'预评函-3'!G4</f>
        <v>6431</v>
      </c>
    </row>
    <row r="53" spans="1:2" s="1315" customFormat="1">
      <c r="A53" s="1313" t="s">
        <v>1005</v>
      </c>
      <c r="B53" s="1314" t="str">
        <f ca="1">'预评函-3'!F5</f>
        <v>贰仟肆佰陆拾柒万元整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f>'预评函-4'!A4</f>
        <v>0</v>
      </c>
    </row>
    <row r="71" spans="1:2">
      <c r="A71" s="1313" t="s">
        <v>988</v>
      </c>
      <c r="B71" s="1314">
        <f>'预评函-4'!B4</f>
        <v>0</v>
      </c>
    </row>
    <row r="72" spans="1:2">
      <c r="A72" s="1313" t="s">
        <v>989</v>
      </c>
      <c r="B72" s="1322">
        <f>'预评函-4'!A5</f>
        <v>0</v>
      </c>
    </row>
    <row r="73" spans="1:2" s="1309" customFormat="1" ht="15" thickBot="1">
      <c r="A73" s="1316" t="s">
        <v>990</v>
      </c>
      <c r="B73" s="1317">
        <f>'预评函-4'!B5</f>
        <v>0</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6" sqref="L36"/>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2793</v>
      </c>
      <c r="C17" s="1680"/>
    </row>
    <row r="18" spans="1:3">
      <c r="A18" s="1679" t="s">
        <v>1491</v>
      </c>
      <c r="B18" s="1679" t="s">
        <v>2937</v>
      </c>
      <c r="C18" s="1680"/>
    </row>
    <row r="19" spans="1:3">
      <c r="A19" s="1679" t="s">
        <v>1492</v>
      </c>
      <c r="B19" s="1682" t="s">
        <v>3192</v>
      </c>
      <c r="C19" s="1680"/>
    </row>
    <row r="20" spans="1:3">
      <c r="A20" s="1679" t="s">
        <v>1493</v>
      </c>
      <c r="B20" s="1682" t="s">
        <v>3216</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3202</v>
      </c>
      <c r="B27" s="1679" t="s">
        <v>577</v>
      </c>
      <c r="C27" s="1680"/>
    </row>
    <row r="28" spans="1:3">
      <c r="A28" s="1679" t="s">
        <v>3215</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12"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7" t="s">
        <v>651</v>
      </c>
      <c r="C54" s="1684" t="s">
        <v>1008</v>
      </c>
    </row>
    <row r="55" spans="1:4">
      <c r="A55" s="3312"/>
      <c r="B55" s="1687" t="s">
        <v>652</v>
      </c>
      <c r="C55" s="1684" t="s">
        <v>1009</v>
      </c>
    </row>
    <row r="56" spans="1:4">
      <c r="A56" s="3312"/>
      <c r="B56" s="1687" t="s">
        <v>653</v>
      </c>
      <c r="C56" s="1684" t="s">
        <v>1013</v>
      </c>
    </row>
    <row r="57" spans="1:4">
      <c r="A57" s="3312"/>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2" customWidth="1"/>
    <col min="10" max="10" width="10" style="1876" customWidth="1"/>
    <col min="11" max="11" width="10" style="2801" customWidth="1"/>
    <col min="12" max="13" width="10" style="2802"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6" t="s">
        <v>2668</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323"/>
      <c r="J1" s="2643"/>
      <c r="K1" s="2538"/>
      <c r="L1" s="2539"/>
      <c r="M1" s="2539"/>
      <c r="N1" s="2540"/>
      <c r="O1" s="1709"/>
      <c r="P1" s="2540"/>
      <c r="Q1" s="2540"/>
      <c r="R1" s="2540"/>
      <c r="S1" s="1815" t="str">
        <f>IF(B10="北京市","北京市",C10)&amp;F10&amp;IF(结果表!G1="在建","出让国有建设用地使用权及在建建筑物房地产抵押价值",IF(结果表!G1="土地","出让国有建设用地使用权抵押价值",B9))</f>
        <v>北京市房地产抵押价值</v>
      </c>
      <c r="T1" s="1878"/>
      <c r="U1" s="1878"/>
      <c r="V1" s="1878"/>
      <c r="W1" s="1878"/>
      <c r="X1" s="1878"/>
      <c r="Y1" s="1878"/>
      <c r="Z1" s="1878"/>
      <c r="AA1" s="1878"/>
      <c r="AB1" s="1878"/>
    </row>
    <row r="2" spans="1:28">
      <c r="A2" s="2537" t="s">
        <v>2669</v>
      </c>
      <c r="B2" s="2541"/>
      <c r="C2" s="2542"/>
      <c r="D2" s="2845"/>
      <c r="E2" s="2835"/>
      <c r="F2" s="2835"/>
      <c r="G2" s="2836"/>
      <c r="H2" s="2836"/>
      <c r="I2" s="2836"/>
      <c r="J2" s="2643"/>
      <c r="K2" s="2538"/>
      <c r="L2" s="2539"/>
      <c r="M2" s="2539"/>
      <c r="N2" s="2540"/>
      <c r="O2" s="1709"/>
      <c r="P2" s="2540"/>
      <c r="Q2" s="2540"/>
      <c r="R2" s="2540"/>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8" t="s">
        <v>2670</v>
      </c>
      <c r="B3" s="2543"/>
      <c r="C3" s="2544" t="s">
        <v>2671</v>
      </c>
      <c r="D3" s="2543">
        <v>44788</v>
      </c>
      <c r="E3" s="2836"/>
      <c r="F3" s="2836"/>
      <c r="G3" s="2836"/>
      <c r="H3" s="2836"/>
      <c r="I3" s="2836"/>
      <c r="J3" s="2643"/>
      <c r="K3" s="2538"/>
      <c r="L3" s="2539"/>
      <c r="M3" s="2539"/>
      <c r="N3" s="2540"/>
      <c r="O3" s="1709"/>
      <c r="P3" s="2540"/>
      <c r="Q3" s="2540"/>
      <c r="R3" s="2540"/>
      <c r="S3" s="1815"/>
      <c r="T3" s="1878"/>
      <c r="U3" s="1878"/>
      <c r="V3" s="1878"/>
      <c r="W3" s="1878"/>
      <c r="X3" s="1878"/>
      <c r="Y3" s="1878"/>
      <c r="Z3" s="1878"/>
      <c r="AA3" s="1878"/>
      <c r="AB3" s="1878"/>
    </row>
    <row r="4" spans="1:28" ht="13.5" thickBot="1">
      <c r="A4" s="1200" t="s">
        <v>2672</v>
      </c>
      <c r="B4" s="2545"/>
      <c r="C4" s="2546">
        <f>SUMIF(注册房地产估价师,B4,估价师及机构信息!B3:B24)</f>
        <v>0</v>
      </c>
      <c r="D4" s="2545"/>
      <c r="E4" s="2547">
        <f>SUMIF(注册房地产估价师,D4,估价师及机构信息!B3:B24)</f>
        <v>0</v>
      </c>
      <c r="F4" s="2545"/>
      <c r="G4" s="2547">
        <f>SUMIF(注册房地产估价师,F4,估价师及机构信息!B3:B24)</f>
        <v>0</v>
      </c>
      <c r="H4" s="2545"/>
      <c r="I4" s="2547">
        <f>SUMIF(注册房地产估价师,H4,估价师及机构信息!B3:B24)</f>
        <v>0</v>
      </c>
      <c r="J4" s="2611"/>
      <c r="K4" s="2548" t="str">
        <f>CONCATENATE(B4,"（注册号：",C4,")、",D4,"（注册号：",E4,")")</f>
        <v>（注册号：0)、（注册号：0)</v>
      </c>
      <c r="L4" s="2539"/>
      <c r="M4" s="2539"/>
      <c r="N4" s="2540"/>
      <c r="O4" s="1709"/>
      <c r="P4" s="2540"/>
      <c r="Q4" s="2540"/>
      <c r="R4" s="2540"/>
      <c r="S4" s="1815"/>
      <c r="T4" s="1878"/>
      <c r="U4" s="1878"/>
      <c r="V4" s="1878"/>
      <c r="W4" s="1878"/>
      <c r="X4" s="1878"/>
      <c r="Y4" s="1878"/>
      <c r="Z4" s="1878"/>
      <c r="AA4" s="1878"/>
      <c r="AB4" s="1878"/>
    </row>
    <row r="5" spans="1:28" ht="13.5" thickTop="1">
      <c r="A5" s="2549" t="s">
        <v>2673</v>
      </c>
      <c r="B5" s="2550"/>
      <c r="C5" s="2551"/>
      <c r="D5" s="2552"/>
      <c r="E5" s="2837"/>
      <c r="F5" s="2837"/>
      <c r="G5" s="2837"/>
      <c r="H5" s="2837"/>
      <c r="I5" s="2837"/>
      <c r="J5" s="2611"/>
      <c r="K5" s="2548" t="str">
        <f>IF(F4="——","",IF(H4="——",F4&amp;"（注册号："&amp;G4&amp;")",CONCATENATE(F4,"（注册号：",G4,")、",H4,"（注册号：",I4,")")))</f>
        <v>（注册号：0)、（注册号：0)</v>
      </c>
      <c r="L5" s="2539"/>
      <c r="M5" s="2539"/>
      <c r="N5" s="2540"/>
      <c r="O5" s="1709"/>
      <c r="P5" s="2540"/>
      <c r="Q5" s="2540"/>
      <c r="R5" s="2540"/>
      <c r="S5" s="1878"/>
      <c r="T5" s="1878"/>
      <c r="U5" s="1878"/>
      <c r="V5" s="1878"/>
      <c r="W5" s="1878"/>
      <c r="X5" s="1878"/>
      <c r="Y5" s="1878"/>
      <c r="Z5" s="1878"/>
      <c r="AA5" s="1878"/>
      <c r="AB5" s="1878"/>
    </row>
    <row r="6" spans="1:28">
      <c r="A6" s="2553" t="s">
        <v>2674</v>
      </c>
      <c r="B6" s="2554"/>
      <c r="C6" s="2555"/>
      <c r="D6" s="2556"/>
      <c r="E6" s="2835"/>
      <c r="F6" s="2837"/>
      <c r="G6" s="2837"/>
      <c r="H6" s="2837"/>
      <c r="I6" s="2837"/>
      <c r="J6" s="2611"/>
      <c r="K6" s="2787" t="str">
        <f>IF(COUNTIF(B6,"*上海银行*"),"上海银行","")</f>
        <v/>
      </c>
      <c r="L6" s="2785"/>
      <c r="M6" s="2785"/>
      <c r="N6" s="2611"/>
      <c r="O6" s="2622"/>
      <c r="P6" s="2611"/>
      <c r="Q6" s="2611"/>
      <c r="R6" s="2611"/>
    </row>
    <row r="7" spans="1:28">
      <c r="A7" s="2553" t="s">
        <v>2675</v>
      </c>
      <c r="B7" s="2557"/>
      <c r="C7" s="2555"/>
      <c r="D7" s="2556"/>
      <c r="E7" s="2835"/>
      <c r="F7" s="2837"/>
      <c r="G7" s="2837"/>
      <c r="H7" s="2837"/>
      <c r="I7" s="2837"/>
      <c r="J7" s="2611"/>
      <c r="K7" s="2788"/>
      <c r="L7" s="2785"/>
      <c r="M7" s="2785"/>
      <c r="N7" s="2611"/>
      <c r="O7" s="2622"/>
      <c r="P7" s="2611"/>
      <c r="Q7" s="2611"/>
      <c r="R7" s="2611"/>
    </row>
    <row r="8" spans="1:28">
      <c r="A8" s="2558" t="s">
        <v>2676</v>
      </c>
      <c r="B8" s="2559" t="s">
        <v>3174</v>
      </c>
      <c r="C8" s="2560"/>
      <c r="D8" s="3324" t="s">
        <v>2677</v>
      </c>
      <c r="E8" s="2561" t="s">
        <v>3175</v>
      </c>
      <c r="F8" s="2562"/>
      <c r="G8" s="2836"/>
      <c r="H8" s="2836"/>
      <c r="I8" s="2836"/>
      <c r="J8" s="2611"/>
      <c r="K8" s="2786"/>
      <c r="L8" s="2785"/>
      <c r="M8" s="2785"/>
      <c r="N8" s="2611"/>
      <c r="O8" s="2622"/>
      <c r="P8" s="2611"/>
      <c r="Q8" s="2611"/>
      <c r="R8" s="2611"/>
    </row>
    <row r="9" spans="1:28" ht="13.5" thickBot="1">
      <c r="A9" s="2563" t="s">
        <v>2678</v>
      </c>
      <c r="B9" s="2564" t="s">
        <v>3175</v>
      </c>
      <c r="C9" s="2565"/>
      <c r="D9" s="3325"/>
      <c r="E9" s="2564"/>
      <c r="F9" s="2566"/>
      <c r="G9" s="2838"/>
      <c r="H9" s="2838"/>
      <c r="I9" s="2838"/>
      <c r="J9" s="2611"/>
      <c r="K9" s="2788"/>
      <c r="L9" s="2785"/>
      <c r="M9" s="2785"/>
      <c r="N9" s="2611"/>
      <c r="O9" s="2622"/>
      <c r="P9" s="2611"/>
      <c r="Q9" s="2611"/>
      <c r="R9" s="2611"/>
    </row>
    <row r="10" spans="1:28" ht="13.5" thickTop="1">
      <c r="A10" s="2567" t="s">
        <v>2679</v>
      </c>
      <c r="B10" s="2568" t="s">
        <v>3176</v>
      </c>
      <c r="C10" s="2569"/>
      <c r="D10" s="2552"/>
      <c r="E10" s="2570" t="s">
        <v>2680</v>
      </c>
      <c r="F10" s="2839"/>
      <c r="G10" s="2840"/>
      <c r="H10" s="2841"/>
      <c r="I10" s="2842"/>
      <c r="J10" s="2611"/>
      <c r="K10" s="2788"/>
      <c r="L10" s="2785"/>
      <c r="M10" s="2785"/>
      <c r="N10" s="2611"/>
      <c r="O10" s="2622"/>
      <c r="P10" s="2611"/>
      <c r="Q10" s="2611"/>
      <c r="R10" s="2611"/>
    </row>
    <row r="11" spans="1:28">
      <c r="A11" s="2571" t="s">
        <v>2681</v>
      </c>
      <c r="B11" s="2572" t="s">
        <v>3177</v>
      </c>
      <c r="C11" s="2573"/>
      <c r="D11" s="2574"/>
      <c r="E11" s="2540"/>
      <c r="F11" s="2540"/>
      <c r="G11" s="2540"/>
      <c r="H11" s="2540"/>
      <c r="I11" s="2540"/>
      <c r="J11" s="2611"/>
      <c r="K11" s="2788"/>
      <c r="L11" s="2785"/>
      <c r="M11" s="2785"/>
      <c r="N11" s="2611"/>
      <c r="O11" s="2622"/>
      <c r="P11" s="2611"/>
      <c r="Q11" s="2611"/>
      <c r="R11" s="2611"/>
    </row>
    <row r="12" spans="1:28">
      <c r="A12" s="2575" t="s">
        <v>2682</v>
      </c>
      <c r="B12" s="2572" t="s">
        <v>3209</v>
      </c>
      <c r="C12" s="329" t="s">
        <v>2683</v>
      </c>
      <c r="D12" s="2576" t="s">
        <v>2684</v>
      </c>
      <c r="E12" s="2576" t="s">
        <v>2685</v>
      </c>
      <c r="F12" s="2576" t="s">
        <v>2686</v>
      </c>
      <c r="G12" s="2576" t="s">
        <v>2687</v>
      </c>
      <c r="H12" s="2576" t="s">
        <v>2688</v>
      </c>
      <c r="I12" s="2576" t="s">
        <v>2689</v>
      </c>
      <c r="J12" s="2611"/>
      <c r="K12" s="2788"/>
      <c r="L12" s="2785"/>
      <c r="M12" s="2785"/>
      <c r="N12" s="2611"/>
      <c r="O12" s="2622"/>
      <c r="P12" s="2611"/>
      <c r="Q12" s="2611"/>
      <c r="R12" s="2611"/>
    </row>
    <row r="13" spans="1:28">
      <c r="A13" s="1191"/>
      <c r="B13" s="2577"/>
      <c r="C13" s="2578" t="s">
        <v>2690</v>
      </c>
      <c r="D13" s="943"/>
      <c r="E13" s="943">
        <v>55208</v>
      </c>
      <c r="F13" s="943"/>
      <c r="G13" s="943">
        <v>58861</v>
      </c>
      <c r="H13" s="943"/>
      <c r="I13" s="943"/>
      <c r="J13" s="2611"/>
      <c r="K13" s="2788"/>
      <c r="L13" s="2785"/>
      <c r="M13" s="2785"/>
      <c r="N13" s="2611"/>
      <c r="O13" s="2622"/>
      <c r="P13" s="2611"/>
      <c r="Q13" s="2611"/>
      <c r="R13" s="2611"/>
    </row>
    <row r="14" spans="1:28">
      <c r="A14" s="1191"/>
      <c r="B14" s="2577"/>
      <c r="C14" s="2578" t="s">
        <v>2691</v>
      </c>
      <c r="D14" s="2579"/>
      <c r="E14" s="2579">
        <v>40</v>
      </c>
      <c r="F14" s="2579"/>
      <c r="G14" s="2579">
        <v>50</v>
      </c>
      <c r="H14" s="2579"/>
      <c r="I14" s="2579"/>
      <c r="J14" s="2611"/>
      <c r="K14" s="2789"/>
      <c r="L14" s="2785"/>
      <c r="M14" s="2785"/>
      <c r="N14" s="2611"/>
      <c r="O14" s="2622"/>
      <c r="P14" s="2611"/>
      <c r="Q14" s="2611"/>
      <c r="R14" s="2611"/>
    </row>
    <row r="15" spans="1:28">
      <c r="A15" s="326"/>
      <c r="B15" s="2580"/>
      <c r="C15" s="2581" t="s">
        <v>2692</v>
      </c>
      <c r="D15" s="2582" t="str">
        <f>IF(B12="出让",IF(D13="","",ROUNDDOWN(MIN((D13-$D$3)/365,D14),2)),D14)</f>
        <v/>
      </c>
      <c r="E15" s="2582">
        <f>IF(B12="出让",IF(E13="","",ROUNDDOWN(MIN((E13-$D$3)/365,E14),2)),E14)</f>
        <v>28.54</v>
      </c>
      <c r="F15" s="2582" t="str">
        <f>IF(B12="出让",IF(F13="","",ROUNDDOWN(MIN((F13-$D$3)/365,F14),2)),F14)</f>
        <v/>
      </c>
      <c r="G15" s="2582">
        <f>IF(B12="出让",IF(G13="","",ROUNDDOWN(MIN((G13-$D$3)/365,G14),2)),G14)</f>
        <v>38.549999999999997</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2693</v>
      </c>
      <c r="B16" s="3331"/>
      <c r="C16" s="3332"/>
      <c r="D16" s="3333"/>
      <c r="E16" s="2585" t="s">
        <v>2694</v>
      </c>
      <c r="F16" s="3334"/>
      <c r="G16" s="3335"/>
      <c r="H16" s="3335"/>
      <c r="I16" s="3336"/>
      <c r="J16" s="2611"/>
      <c r="K16" s="2790"/>
      <c r="L16" s="2623"/>
      <c r="M16" s="2623"/>
      <c r="N16" s="2681"/>
      <c r="O16" s="2623"/>
      <c r="P16" s="2681"/>
      <c r="Q16" s="2611"/>
      <c r="R16" s="2611"/>
    </row>
    <row r="17" spans="1:28">
      <c r="A17" s="319" t="s">
        <v>2695</v>
      </c>
      <c r="B17" s="308" t="s">
        <v>2696</v>
      </c>
      <c r="C17" s="11">
        <f>'数据-汇总表'!E3</f>
        <v>3836.1200000000003</v>
      </c>
      <c r="D17" s="2492" t="s">
        <v>2697</v>
      </c>
      <c r="E17" s="3337" t="s">
        <v>2698</v>
      </c>
      <c r="F17" s="3338"/>
      <c r="G17" s="3338"/>
      <c r="H17" s="3338"/>
      <c r="I17" s="3339"/>
      <c r="J17" s="2611"/>
      <c r="K17" s="2791"/>
      <c r="L17" s="2623"/>
      <c r="M17" s="2623"/>
      <c r="N17" s="2681"/>
      <c r="O17" s="2623"/>
      <c r="P17" s="2681"/>
      <c r="Q17" s="2611"/>
      <c r="R17" s="2611"/>
      <c r="S17" s="2611"/>
      <c r="T17" s="2611"/>
      <c r="U17" s="2611"/>
      <c r="V17" s="2611"/>
    </row>
    <row r="18" spans="1:28" ht="24.75" thickBot="1">
      <c r="A18" s="2586" t="s">
        <v>2699</v>
      </c>
      <c r="B18" s="1200" t="s">
        <v>2700</v>
      </c>
      <c r="C18" s="2587">
        <f>'数据-汇总表'!D3</f>
        <v>0</v>
      </c>
      <c r="D18" s="1202" t="s">
        <v>2701</v>
      </c>
      <c r="E18" s="3340" t="s">
        <v>2702</v>
      </c>
      <c r="F18" s="3341"/>
      <c r="G18" s="3341"/>
      <c r="H18" s="3341"/>
      <c r="I18" s="3342"/>
      <c r="J18" s="2611"/>
      <c r="K18" s="2791"/>
      <c r="L18" s="2623"/>
      <c r="M18" s="2623"/>
      <c r="N18" s="2681"/>
      <c r="O18" s="2623"/>
      <c r="P18" s="2681"/>
      <c r="Q18" s="2611"/>
      <c r="R18" s="2611"/>
      <c r="S18" s="2611"/>
      <c r="T18" s="2611"/>
      <c r="U18" s="2611"/>
      <c r="V18" s="2611"/>
    </row>
    <row r="19" spans="1:28" ht="37.5" thickTop="1" thickBot="1">
      <c r="A19" s="333" t="s">
        <v>1500</v>
      </c>
      <c r="B19" s="313" t="s">
        <v>2703</v>
      </c>
      <c r="C19" s="1696"/>
      <c r="D19" s="1697" t="s">
        <v>2704</v>
      </c>
      <c r="E19" s="1698"/>
      <c r="F19" s="1699" t="str">
        <f>IF(AND(C19="是",E19="否"),"是否提供他项权证或相关说明","")</f>
        <v/>
      </c>
      <c r="G19" s="1700"/>
      <c r="H19" s="2837"/>
      <c r="I19" s="2837"/>
      <c r="J19" s="2611"/>
      <c r="K19" s="2788"/>
      <c r="L19" s="2785"/>
      <c r="M19" s="2785"/>
      <c r="N19" s="2681"/>
      <c r="O19" s="2623"/>
      <c r="P19" s="2681"/>
      <c r="Q19" s="2611"/>
      <c r="R19" s="2611"/>
      <c r="S19" s="2611"/>
      <c r="T19" s="2611"/>
      <c r="U19" s="2611"/>
      <c r="V19" s="2611"/>
    </row>
    <row r="20" spans="1:28">
      <c r="A20" s="2805" t="s">
        <v>2705</v>
      </c>
      <c r="B20" s="3327" t="s">
        <v>2706</v>
      </c>
      <c r="C20" s="3328"/>
      <c r="D20" s="3329" t="s">
        <v>2707</v>
      </c>
      <c r="E20" s="3330"/>
      <c r="F20" s="2820" t="s">
        <v>1501</v>
      </c>
      <c r="G20" s="2837"/>
      <c r="H20" s="2837"/>
      <c r="I20" s="2837"/>
      <c r="J20" s="2611"/>
      <c r="K20" s="332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9"/>
      <c r="N20" s="2584"/>
      <c r="O20" s="2583"/>
      <c r="P20" s="2584"/>
      <c r="Q20" s="2540"/>
      <c r="R20" s="2540"/>
      <c r="S20" s="2540"/>
      <c r="T20" s="2540"/>
      <c r="U20" s="2540"/>
      <c r="V20" s="2540"/>
      <c r="W20" s="1878"/>
      <c r="X20" s="1878"/>
      <c r="Y20" s="1878"/>
      <c r="Z20" s="1878"/>
      <c r="AA20" s="1878"/>
      <c r="AB20" s="1878"/>
    </row>
    <row r="21" spans="1:28" ht="24.75" thickBot="1">
      <c r="A21" s="2805"/>
      <c r="B21" s="2806" t="s">
        <v>2709</v>
      </c>
      <c r="C21" s="2807" t="s">
        <v>1502</v>
      </c>
      <c r="D21" s="1701" t="s">
        <v>2710</v>
      </c>
      <c r="E21" s="2808" t="s">
        <v>1502</v>
      </c>
      <c r="F21" s="2821"/>
      <c r="G21" s="2837"/>
      <c r="H21" s="2837"/>
      <c r="I21" s="2837"/>
      <c r="J21" s="2611"/>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8"/>
      <c r="X21" s="1878"/>
      <c r="Y21" s="1878"/>
      <c r="Z21" s="1878"/>
      <c r="AA21" s="1878"/>
      <c r="AB21" s="1878"/>
    </row>
    <row r="22" spans="1:28" ht="24.75" thickBot="1">
      <c r="A22" s="2805"/>
      <c r="B22" s="2809" t="s">
        <v>2711</v>
      </c>
      <c r="C22" s="2807" t="s">
        <v>1503</v>
      </c>
      <c r="D22" s="2836"/>
      <c r="E22" s="2836"/>
      <c r="F22" s="2836"/>
      <c r="G22" s="2837"/>
      <c r="H22" s="2837"/>
      <c r="I22" s="2837"/>
      <c r="J22" s="2611"/>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8"/>
      <c r="X22" s="1878"/>
      <c r="Y22" s="1878"/>
      <c r="Z22" s="1878"/>
      <c r="AA22" s="1878"/>
      <c r="AB22" s="1878"/>
    </row>
    <row r="23" spans="1:28">
      <c r="A23" s="2810" t="s">
        <v>2712</v>
      </c>
      <c r="B23" s="2674" t="s">
        <v>2713</v>
      </c>
      <c r="C23" s="2811"/>
      <c r="D23" s="2812" t="s">
        <v>2713</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1504</v>
      </c>
      <c r="C24" s="2814"/>
      <c r="D24" s="2810" t="s">
        <v>1504</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1505</v>
      </c>
      <c r="C25" s="2814"/>
      <c r="D25" s="2810" t="s">
        <v>1505</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1506</v>
      </c>
      <c r="C26" s="2818"/>
      <c r="D26" s="2816" t="s">
        <v>1506</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14" t="s">
        <v>2714</v>
      </c>
      <c r="B27" s="326" t="s">
        <v>2715</v>
      </c>
      <c r="C27" s="2588"/>
      <c r="D27" s="2589"/>
      <c r="E27" s="2837"/>
      <c r="F27" s="2837"/>
      <c r="G27" s="2837"/>
      <c r="H27" s="2837"/>
      <c r="I27" s="2837"/>
      <c r="J27" s="2611"/>
      <c r="K27" s="2790"/>
      <c r="L27" s="2623"/>
      <c r="M27" s="2623"/>
      <c r="N27" s="2681"/>
      <c r="O27" s="2623"/>
      <c r="P27" s="2681"/>
      <c r="Q27" s="2611"/>
      <c r="R27" s="2611"/>
      <c r="S27" s="2611"/>
      <c r="T27" s="2611"/>
      <c r="U27" s="2611"/>
      <c r="V27" s="2611"/>
    </row>
    <row r="28" spans="1:28">
      <c r="A28" s="3314"/>
      <c r="B28" s="308" t="s">
        <v>2716</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c r="A29" s="3314"/>
      <c r="B29" s="308" t="s">
        <v>2717</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c r="A30" s="3315"/>
      <c r="B30" s="308" t="s">
        <v>2718</v>
      </c>
      <c r="C30" s="3316"/>
      <c r="D30" s="3317"/>
      <c r="E30" s="2837"/>
      <c r="F30" s="2837"/>
      <c r="G30" s="2837"/>
      <c r="H30" s="2837"/>
      <c r="I30" s="2837"/>
      <c r="J30" s="2611"/>
      <c r="K30" s="2788"/>
      <c r="L30" s="2785"/>
      <c r="M30" s="2785"/>
      <c r="N30" s="2611"/>
      <c r="O30" s="2622"/>
      <c r="P30" s="2611"/>
      <c r="Q30" s="2611"/>
      <c r="R30" s="2611"/>
      <c r="S30" s="2611"/>
      <c r="T30" s="2611"/>
      <c r="U30" s="2611"/>
      <c r="V30" s="2611"/>
    </row>
    <row r="31" spans="1:28">
      <c r="A31" s="3318" t="s">
        <v>2719</v>
      </c>
      <c r="B31" s="2594"/>
      <c r="C31" s="2493" t="str">
        <f>IF(B31="现房","成新及维护状况正常否",IF(B31="在建","工程状态是否正常",IF(B31="土地","是否闲置","-")))</f>
        <v>-</v>
      </c>
      <c r="D31" s="1505"/>
      <c r="E31" s="2595"/>
      <c r="F31" s="2837"/>
      <c r="G31" s="2837"/>
      <c r="H31" s="2837"/>
      <c r="I31" s="2837"/>
      <c r="J31" s="2611"/>
      <c r="K31" s="2787"/>
      <c r="L31" s="2785"/>
      <c r="M31" s="2785"/>
      <c r="N31" s="2611"/>
      <c r="O31" s="2622"/>
      <c r="P31" s="2611"/>
      <c r="Q31" s="2611"/>
      <c r="R31" s="2611"/>
      <c r="S31" s="2611"/>
      <c r="T31" s="2611"/>
      <c r="U31" s="2611"/>
      <c r="V31" s="2611"/>
    </row>
    <row r="32" spans="1:28">
      <c r="A32" s="3319"/>
      <c r="B32" s="2594"/>
      <c r="C32" s="2493" t="str">
        <f>IF(B32="现房","成新及维护状况是否正常",IF(B32="在建","工程状态是否正常",IF(B32="土地","是否闲置","-")))</f>
        <v>-</v>
      </c>
      <c r="D32" s="1505"/>
      <c r="E32" s="2595"/>
      <c r="F32" s="2837"/>
      <c r="G32" s="2837"/>
      <c r="H32" s="2837"/>
      <c r="I32" s="2837"/>
      <c r="J32" s="2611"/>
      <c r="K32" s="2788"/>
      <c r="L32" s="2785"/>
      <c r="M32" s="2785"/>
      <c r="N32" s="2611"/>
      <c r="O32" s="2622"/>
      <c r="P32" s="2611"/>
      <c r="Q32" s="2611"/>
      <c r="R32" s="2611"/>
      <c r="S32" s="2611"/>
      <c r="T32" s="2611"/>
      <c r="U32" s="2611"/>
      <c r="V32" s="2611"/>
    </row>
    <row r="33" spans="1:30">
      <c r="A33" s="3319"/>
      <c r="B33" s="2597"/>
      <c r="C33" s="1723" t="str">
        <f>IF(B33="现房","成新及维护状况是否正常",IF(B33="在建","工程状态是否正常",IF(B33="土地","是否闲置","-")))</f>
        <v>-</v>
      </c>
      <c r="D33" s="1497"/>
      <c r="E33" s="2598"/>
      <c r="F33" s="2837"/>
      <c r="G33" s="2837"/>
      <c r="H33" s="2837"/>
      <c r="I33" s="2837"/>
      <c r="J33" s="2611"/>
      <c r="K33" s="2788"/>
      <c r="L33" s="2785"/>
      <c r="M33" s="2785"/>
      <c r="N33" s="2611"/>
      <c r="O33" s="2622"/>
      <c r="P33" s="2611"/>
      <c r="Q33" s="2611"/>
      <c r="R33" s="2611"/>
      <c r="S33" s="2611"/>
      <c r="T33" s="2611"/>
      <c r="U33" s="2611"/>
      <c r="V33" s="2611"/>
    </row>
    <row r="34" spans="1:30">
      <c r="A34" s="308" t="s">
        <v>2720</v>
      </c>
      <c r="B34" s="2161"/>
      <c r="C34" s="2161"/>
      <c r="D34" s="2161"/>
      <c r="E34" s="2161"/>
      <c r="F34" s="2161"/>
      <c r="G34" s="2161"/>
      <c r="H34" s="2161"/>
      <c r="I34" s="2837"/>
      <c r="J34" s="2611"/>
      <c r="K34" s="2599">
        <f>COUNTIF(B34:H34,"——")</f>
        <v>0</v>
      </c>
      <c r="L34" s="329" t="s">
        <v>2721</v>
      </c>
      <c r="M34" s="329" t="s">
        <v>2722</v>
      </c>
      <c r="N34" s="329" t="s">
        <v>2723</v>
      </c>
      <c r="O34" s="329" t="s">
        <v>2724</v>
      </c>
      <c r="P34" s="329" t="s">
        <v>2725</v>
      </c>
      <c r="Q34" s="329" t="s">
        <v>2726</v>
      </c>
      <c r="R34" s="329" t="s">
        <v>2727</v>
      </c>
      <c r="S34" s="3313" t="s">
        <v>2728</v>
      </c>
      <c r="T34" s="2600" t="str">
        <f>NUMBERSTRING(7-K34,1)&amp;"通"</f>
        <v>七通</v>
      </c>
      <c r="U34" s="2611"/>
      <c r="V34" s="2611"/>
    </row>
    <row r="35" spans="1:30">
      <c r="A35" s="2601"/>
      <c r="B35" s="3320" t="s">
        <v>2729</v>
      </c>
      <c r="C35" s="3320"/>
      <c r="D35" s="3320"/>
      <c r="E35" s="3320"/>
      <c r="F35" s="673">
        <f>C10</f>
        <v>0</v>
      </c>
      <c r="G35" s="2837"/>
      <c r="H35" s="2837"/>
      <c r="I35" s="2837"/>
      <c r="J35" s="261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3"/>
      <c r="T35" s="335" t="str">
        <f>IF(T34="一通",L35,IF(T34="二通",M35,IF(T34="三通",N35,IF(T34="四通",O35,IF(T34="五通",P35,IF(T34="六通",Q35,R35))))))</f>
        <v>、、、、、、</v>
      </c>
      <c r="U35" s="2611"/>
      <c r="V35" s="2611"/>
    </row>
    <row r="36" spans="1:30">
      <c r="A36" s="2602"/>
      <c r="B36" s="673" t="s">
        <v>2685</v>
      </c>
      <c r="C36" s="673" t="s">
        <v>2686</v>
      </c>
      <c r="D36" s="673" t="s">
        <v>2684</v>
      </c>
      <c r="E36" s="673" t="s">
        <v>2689</v>
      </c>
      <c r="F36" s="2843"/>
      <c r="G36" s="2837"/>
      <c r="H36" s="2837"/>
      <c r="I36" s="2837"/>
      <c r="J36" s="2611"/>
      <c r="K36" s="2788"/>
      <c r="L36" s="2785"/>
      <c r="M36" s="2785"/>
      <c r="N36" s="2611"/>
      <c r="O36" s="2622"/>
      <c r="P36" s="2611"/>
      <c r="Q36" s="2611"/>
      <c r="R36" s="2611"/>
      <c r="S36" s="2611"/>
      <c r="T36" s="2611"/>
      <c r="U36" s="2611"/>
      <c r="V36" s="2611"/>
    </row>
    <row r="37" spans="1:30">
      <c r="A37" s="2803" t="s">
        <v>2730</v>
      </c>
      <c r="B37" s="2603"/>
      <c r="C37" s="2603"/>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2731</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2732</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0"/>
      <c r="B40" s="2540"/>
      <c r="C40" s="2540"/>
      <c r="D40" s="2540"/>
      <c r="E40" s="2540"/>
      <c r="F40" s="2540"/>
      <c r="G40" s="2540"/>
      <c r="H40" s="2540"/>
      <c r="I40" s="1711"/>
      <c r="J40" s="2681"/>
      <c r="K40" s="2787"/>
      <c r="L40" s="2623"/>
      <c r="M40" s="2623"/>
      <c r="N40" s="2681"/>
      <c r="O40" s="2623"/>
      <c r="P40" s="2611"/>
      <c r="Q40" s="2611"/>
      <c r="R40" s="2611"/>
      <c r="S40" s="2611"/>
      <c r="T40" s="2611"/>
      <c r="U40" s="2611"/>
      <c r="V40" s="2611"/>
    </row>
    <row r="41" spans="1:30">
      <c r="A41" s="2608" t="s">
        <v>2733</v>
      </c>
      <c r="B41" s="1890"/>
      <c r="C41" s="1505"/>
      <c r="D41" s="2540"/>
      <c r="E41" s="2540"/>
      <c r="F41" s="2540"/>
      <c r="G41" s="2540"/>
      <c r="H41" s="2540"/>
      <c r="I41" s="1709"/>
      <c r="J41" s="2611"/>
      <c r="K41" s="2788"/>
      <c r="L41" s="2785"/>
      <c r="M41" s="2785"/>
      <c r="N41" s="2611"/>
      <c r="O41" s="2622"/>
      <c r="P41" s="2611"/>
      <c r="Q41" s="2611"/>
      <c r="R41" s="2611"/>
      <c r="S41" s="2611"/>
      <c r="T41" s="2611"/>
      <c r="U41" s="2611"/>
      <c r="V41" s="2611"/>
    </row>
    <row r="42" spans="1:30" ht="25.5">
      <c r="A42" s="329" t="s">
        <v>2734</v>
      </c>
      <c r="B42" s="11" t="s">
        <v>2735</v>
      </c>
      <c r="C42" s="11" t="s">
        <v>2736</v>
      </c>
      <c r="D42" s="11" t="s">
        <v>2737</v>
      </c>
      <c r="E42" s="11" t="s">
        <v>2738</v>
      </c>
      <c r="F42" s="11" t="s">
        <v>2739</v>
      </c>
      <c r="G42" s="11" t="s">
        <v>2740</v>
      </c>
      <c r="H42" s="11" t="s">
        <v>2741</v>
      </c>
      <c r="I42" s="11" t="s">
        <v>2742</v>
      </c>
      <c r="J42" s="2799" t="s">
        <v>2743</v>
      </c>
      <c r="K42" s="2800" t="s">
        <v>2744</v>
      </c>
      <c r="L42" s="2800" t="s">
        <v>2745</v>
      </c>
      <c r="M42" s="2800" t="s">
        <v>2746</v>
      </c>
      <c r="N42" s="2793" t="s">
        <v>2747</v>
      </c>
      <c r="O42" s="2793" t="s">
        <v>2748</v>
      </c>
      <c r="P42" s="2793" t="s">
        <v>2749</v>
      </c>
      <c r="Q42" s="2794" t="s">
        <v>2750</v>
      </c>
      <c r="R42" s="2794" t="s">
        <v>2751</v>
      </c>
      <c r="S42" s="2611"/>
      <c r="T42" s="2611"/>
      <c r="U42" s="2611"/>
      <c r="V42" s="2611"/>
    </row>
    <row r="43" spans="1:30" s="1876"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6"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6"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6"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6"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6"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6"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6"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6" customFormat="1">
      <c r="A51" s="1703"/>
      <c r="B51" s="1703"/>
      <c r="C51" s="1160"/>
      <c r="D51" s="1160"/>
      <c r="E51" s="1160"/>
      <c r="F51" s="1160"/>
      <c r="G51" s="1160"/>
      <c r="H51" s="1160"/>
      <c r="I51" s="1160"/>
      <c r="J51" s="2609"/>
      <c r="K51" s="2610"/>
      <c r="L51" s="2610"/>
      <c r="M51" s="1160"/>
      <c r="N51" s="1160"/>
      <c r="O51" s="1160"/>
      <c r="P51" s="1160"/>
      <c r="Q51" s="1160"/>
      <c r="R51" s="1160"/>
    </row>
    <row r="52" spans="1:22" s="1876" customFormat="1">
      <c r="A52" s="1703"/>
      <c r="B52" s="1703"/>
      <c r="C52" s="1703"/>
      <c r="D52" s="1703"/>
      <c r="E52" s="1703"/>
      <c r="F52" s="1160"/>
      <c r="G52" s="1703"/>
      <c r="H52" s="1703"/>
      <c r="I52" s="1703"/>
      <c r="J52" s="2612"/>
      <c r="K52" s="2610"/>
      <c r="L52" s="2610"/>
      <c r="M52" s="2610"/>
      <c r="N52" s="1703"/>
      <c r="O52" s="1703"/>
      <c r="P52" s="1703"/>
      <c r="Q52" s="1703"/>
      <c r="R52" s="1703"/>
    </row>
    <row r="53" spans="1:22" s="1876" customFormat="1">
      <c r="A53" s="1703"/>
      <c r="B53" s="1703"/>
      <c r="C53" s="1703"/>
      <c r="D53" s="1703"/>
      <c r="E53" s="1703"/>
      <c r="F53" s="1160"/>
      <c r="G53" s="1703"/>
      <c r="H53" s="1703"/>
      <c r="I53" s="1703"/>
      <c r="J53" s="2612"/>
      <c r="K53" s="2610"/>
      <c r="L53" s="2610"/>
      <c r="M53" s="2610"/>
      <c r="N53" s="1703"/>
      <c r="O53" s="1703"/>
      <c r="P53" s="1703"/>
      <c r="Q53" s="1703"/>
      <c r="R53" s="1703"/>
    </row>
    <row r="54" spans="1:22" s="1876" customFormat="1">
      <c r="A54" s="1703"/>
      <c r="B54" s="1703"/>
      <c r="C54" s="1703"/>
      <c r="D54" s="1703"/>
      <c r="E54" s="1703"/>
      <c r="F54" s="1160"/>
      <c r="G54" s="1703"/>
      <c r="H54" s="1703"/>
      <c r="I54" s="1703"/>
      <c r="J54" s="2612"/>
      <c r="K54" s="2610"/>
      <c r="L54" s="2610"/>
      <c r="M54" s="2610"/>
      <c r="N54" s="1703"/>
      <c r="O54" s="1703"/>
      <c r="P54" s="1703"/>
      <c r="Q54" s="1703"/>
      <c r="R54" s="1703"/>
    </row>
    <row r="55" spans="1:22" s="1876" customFormat="1">
      <c r="A55" s="1703"/>
      <c r="B55" s="1703"/>
      <c r="C55" s="1703"/>
      <c r="D55" s="1703"/>
      <c r="E55" s="1703"/>
      <c r="F55" s="1160"/>
      <c r="G55" s="1703"/>
      <c r="H55" s="1703"/>
      <c r="I55" s="1703"/>
      <c r="J55" s="2612"/>
      <c r="K55" s="2610"/>
      <c r="L55" s="2610"/>
      <c r="M55" s="2610"/>
      <c r="N55" s="1703"/>
      <c r="O55" s="1703"/>
      <c r="P55" s="1703"/>
      <c r="Q55" s="1703"/>
      <c r="R55" s="1703"/>
    </row>
    <row r="56" spans="1:22" s="1876"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8" sqref="M28"/>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c r="B3" s="14">
        <f>IF(C3="否",G5-AT5,G5)</f>
        <v>7209.4600000000009</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7209.4600000000009</v>
      </c>
      <c r="H5" s="16">
        <f t="shared" ref="H5:AT5" si="0">SUM(H13:H656)</f>
        <v>7209.4600000000009</v>
      </c>
      <c r="I5" s="16">
        <f t="shared" si="0"/>
        <v>3836.1200000000003</v>
      </c>
      <c r="J5" s="16">
        <f t="shared" si="0"/>
        <v>0</v>
      </c>
      <c r="K5" s="16">
        <f t="shared" si="0"/>
        <v>108.62</v>
      </c>
      <c r="L5" s="16">
        <f t="shared" si="0"/>
        <v>0</v>
      </c>
      <c r="M5" s="16">
        <f t="shared" si="0"/>
        <v>3264.7200000000003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3836.1200000000003</v>
      </c>
      <c r="BA5" s="18">
        <f t="shared" si="1"/>
        <v>3836.1200000000003</v>
      </c>
      <c r="BB5" s="18">
        <f t="shared" si="1"/>
        <v>3836.1200000000003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3212</v>
      </c>
      <c r="J9" s="896"/>
      <c r="K9" s="1736" t="s">
        <v>3212</v>
      </c>
      <c r="L9" s="896"/>
      <c r="M9" s="1736" t="s">
        <v>3212</v>
      </c>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3213</v>
      </c>
      <c r="L10" s="896"/>
      <c r="M10" s="1742" t="s">
        <v>3213</v>
      </c>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地下</v>
      </c>
      <c r="BC10" s="29" t="str">
        <f>K9</f>
        <v>地下</v>
      </c>
      <c r="BD10" s="29" t="str">
        <f>M9</f>
        <v>地下</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3210</v>
      </c>
      <c r="J11" s="1748"/>
      <c r="K11" s="1747" t="s">
        <v>3190</v>
      </c>
      <c r="L11" s="1748"/>
      <c r="M11" s="1747" t="s">
        <v>3214</v>
      </c>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车库—商业</v>
      </c>
      <c r="BD11" s="1732" t="str">
        <f>M10</f>
        <v>车库—商业</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独栋</v>
      </c>
      <c r="BC12" s="1757" t="str">
        <f>K11</f>
        <v>车库</v>
      </c>
      <c r="BD12" s="1757" t="str">
        <f>M11</f>
        <v>机械车位</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v>7209.46</v>
      </c>
      <c r="B13" s="1160"/>
      <c r="C13" s="1160"/>
      <c r="D13" s="1758" t="s">
        <v>3178</v>
      </c>
      <c r="E13" s="16">
        <f>IF($C$3="是",ROUND($A$3*G13/$B$3,2),ROUND($A$3*(G13-AT13)/$B$3,2))</f>
        <v>0</v>
      </c>
      <c r="F13" s="32"/>
      <c r="G13" s="33">
        <f>H13+AC13+AT13</f>
        <v>3836.1200000000003</v>
      </c>
      <c r="H13" s="20">
        <f>SUMIF(I$12:AB$12,"总值",I13:AB13)</f>
        <v>3836.1200000000003</v>
      </c>
      <c r="I13" s="1759">
        <f>241.1+553.36+131.14+135.95+372.22+257.07+81.09+252.71+129.77+109.44+250.29+209.29+231.53+239.73+507.9+133.53</f>
        <v>3836.1200000000003</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7209.46</v>
      </c>
      <c r="AW13" s="11">
        <f t="shared" si="6"/>
        <v>0</v>
      </c>
      <c r="AX13" s="11">
        <f t="shared" si="6"/>
        <v>0</v>
      </c>
      <c r="AY13" s="1481">
        <f>ROUND($AY$6*AZ13/$AZ$5,2)</f>
        <v>0</v>
      </c>
      <c r="AZ13" s="16">
        <f>BA13+BL13</f>
        <v>3836.1200000000003</v>
      </c>
      <c r="BA13" s="16">
        <f>SUM(BB13:BK13)</f>
        <v>3836.1200000000003</v>
      </c>
      <c r="BB13" s="16">
        <f>IF($D13="是",I13-J13,0)</f>
        <v>3836.1200000000003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c r="D14" s="1758" t="s">
        <v>3219</v>
      </c>
      <c r="E14" s="16">
        <f>IF($C$3="是",ROUND($A$3*G14/$B$3,2),ROUND($A$3*(G14-AT14)/$B$3,2))</f>
        <v>0</v>
      </c>
      <c r="F14" s="32"/>
      <c r="G14" s="33">
        <f>H14+AC14+AT14</f>
        <v>3373.34</v>
      </c>
      <c r="H14" s="20">
        <f>SUMIF(I$12:AB$12,"总值",I14:AB14)</f>
        <v>3373.34</v>
      </c>
      <c r="I14" s="1759"/>
      <c r="J14" s="1759"/>
      <c r="K14" s="1759">
        <f>54.31+54.31</f>
        <v>108.62</v>
      </c>
      <c r="L14" s="1759"/>
      <c r="M14" s="1759">
        <f>216.5+472.2+192.57+472.2+472.2+269.18+314.84+334.55+520.48</f>
        <v>3264.7200000000003</v>
      </c>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v>216.5</v>
      </c>
      <c r="B15" s="1160">
        <v>5</v>
      </c>
      <c r="C15" s="1703">
        <f>A15/B15</f>
        <v>43.3</v>
      </c>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216.5</v>
      </c>
      <c r="AW15" s="11">
        <f t="shared" si="6"/>
        <v>5</v>
      </c>
      <c r="AX15" s="11">
        <f t="shared" si="6"/>
        <v>43.3</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v>472.2</v>
      </c>
      <c r="B16" s="1160">
        <v>10</v>
      </c>
      <c r="C16" s="1703">
        <f t="shared" ref="C16:C23" si="7">A16/B16</f>
        <v>47.22</v>
      </c>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472.2</v>
      </c>
      <c r="AW16" s="11">
        <f t="shared" si="6"/>
        <v>10</v>
      </c>
      <c r="AX16" s="11">
        <f t="shared" si="6"/>
        <v>47.22</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v>192.57</v>
      </c>
      <c r="B17" s="1160">
        <v>5</v>
      </c>
      <c r="C17" s="1703">
        <f t="shared" si="7"/>
        <v>38.513999999999996</v>
      </c>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192.57</v>
      </c>
      <c r="AW17" s="11">
        <f t="shared" si="6"/>
        <v>5</v>
      </c>
      <c r="AX17" s="11">
        <f t="shared" si="6"/>
        <v>38.513999999999996</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60">
        <v>472.2</v>
      </c>
      <c r="B18" s="34">
        <v>10</v>
      </c>
      <c r="C18" s="1703">
        <f t="shared" si="7"/>
        <v>47.22</v>
      </c>
      <c r="D18" s="1758"/>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2">A18</f>
        <v>472.2</v>
      </c>
      <c r="AW18" s="1475">
        <f t="shared" ref="AW18:AW112" si="13">B18</f>
        <v>10</v>
      </c>
      <c r="AX18" s="1475">
        <f t="shared" ref="AX18:AX112" si="14">C18</f>
        <v>47.22</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160">
        <v>472.2</v>
      </c>
      <c r="B19" s="34">
        <v>10</v>
      </c>
      <c r="C19" s="1703">
        <f t="shared" si="7"/>
        <v>47.22</v>
      </c>
      <c r="D19" s="1758"/>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1764"/>
      <c r="AV19" s="1475">
        <f t="shared" si="12"/>
        <v>472.2</v>
      </c>
      <c r="AW19" s="1475">
        <f t="shared" si="13"/>
        <v>10</v>
      </c>
      <c r="AX19" s="1475">
        <f t="shared" si="14"/>
        <v>47.22</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v>269.18</v>
      </c>
      <c r="B20" s="34">
        <v>5</v>
      </c>
      <c r="C20" s="1703">
        <f t="shared" si="7"/>
        <v>53.835999999999999</v>
      </c>
      <c r="D20" s="1758"/>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1764"/>
      <c r="AV20" s="1475">
        <f t="shared" si="12"/>
        <v>269.18</v>
      </c>
      <c r="AW20" s="1475">
        <f t="shared" si="13"/>
        <v>5</v>
      </c>
      <c r="AX20" s="1475">
        <f t="shared" si="14"/>
        <v>53.835999999999999</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v>314.83999999999997</v>
      </c>
      <c r="B21" s="34">
        <v>7</v>
      </c>
      <c r="C21" s="1703">
        <f t="shared" si="7"/>
        <v>44.977142857142852</v>
      </c>
      <c r="D21" s="1763"/>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1764"/>
      <c r="AV21" s="1475">
        <f t="shared" si="12"/>
        <v>314.83999999999997</v>
      </c>
      <c r="AW21" s="1475">
        <f t="shared" si="13"/>
        <v>7</v>
      </c>
      <c r="AX21" s="1475">
        <f t="shared" si="14"/>
        <v>44.977142857142852</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v>334.55</v>
      </c>
      <c r="B22" s="34">
        <v>7</v>
      </c>
      <c r="C22" s="1703">
        <f t="shared" si="7"/>
        <v>47.792857142857144</v>
      </c>
      <c r="D22" s="1763"/>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1764"/>
      <c r="AV22" s="1475">
        <f t="shared" si="12"/>
        <v>334.55</v>
      </c>
      <c r="AW22" s="1475">
        <f t="shared" si="13"/>
        <v>7</v>
      </c>
      <c r="AX22" s="1475">
        <f t="shared" si="14"/>
        <v>47.792857142857144</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v>520.48</v>
      </c>
      <c r="B23" s="34">
        <v>12</v>
      </c>
      <c r="C23" s="1703">
        <f t="shared" si="7"/>
        <v>43.373333333333335</v>
      </c>
      <c r="D23" s="1763"/>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1764"/>
      <c r="AV23" s="1475">
        <f t="shared" si="12"/>
        <v>520.48</v>
      </c>
      <c r="AW23" s="1475">
        <f t="shared" si="13"/>
        <v>12</v>
      </c>
      <c r="AX23" s="1475">
        <f t="shared" si="14"/>
        <v>43.373333333333335</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1763"/>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1764"/>
      <c r="AV24" s="1475">
        <f t="shared" si="12"/>
        <v>0</v>
      </c>
      <c r="AW24" s="1475">
        <f t="shared" si="13"/>
        <v>0</v>
      </c>
      <c r="AX24" s="1475">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1763"/>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1764"/>
      <c r="AV25" s="1475">
        <f t="shared" si="12"/>
        <v>0</v>
      </c>
      <c r="AW25" s="1475">
        <f t="shared" si="13"/>
        <v>0</v>
      </c>
      <c r="AX25" s="1475">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1763"/>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1764"/>
      <c r="AV26" s="1475">
        <f t="shared" si="12"/>
        <v>0</v>
      </c>
      <c r="AW26" s="1475">
        <f t="shared" si="13"/>
        <v>0</v>
      </c>
      <c r="AX26" s="1475">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1763"/>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1764"/>
      <c r="AV27" s="1475">
        <f t="shared" si="12"/>
        <v>0</v>
      </c>
      <c r="AW27" s="1475">
        <f t="shared" si="13"/>
        <v>0</v>
      </c>
      <c r="AX27" s="1475">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1763"/>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1764"/>
      <c r="AV28" s="1475">
        <f t="shared" si="12"/>
        <v>0</v>
      </c>
      <c r="AW28" s="1475">
        <f t="shared" si="13"/>
        <v>0</v>
      </c>
      <c r="AX28" s="1475">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1763"/>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1764"/>
      <c r="AV29" s="1475">
        <f t="shared" si="12"/>
        <v>0</v>
      </c>
      <c r="AW29" s="1475">
        <f t="shared" si="13"/>
        <v>0</v>
      </c>
      <c r="AX29" s="1475">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1763"/>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1764"/>
      <c r="AV30" s="1475">
        <f t="shared" si="12"/>
        <v>0</v>
      </c>
      <c r="AW30" s="1475">
        <f t="shared" si="13"/>
        <v>0</v>
      </c>
      <c r="AX30" s="1475">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1763"/>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1764"/>
      <c r="AV31" s="1475">
        <f t="shared" si="12"/>
        <v>0</v>
      </c>
      <c r="AW31" s="1475">
        <f t="shared" si="13"/>
        <v>0</v>
      </c>
      <c r="AX31" s="1475">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1763"/>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1764"/>
      <c r="AV32" s="1475">
        <f t="shared" si="12"/>
        <v>0</v>
      </c>
      <c r="AW32" s="1475">
        <f t="shared" si="13"/>
        <v>0</v>
      </c>
      <c r="AX32" s="1475">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1763"/>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1764"/>
      <c r="AV33" s="1475">
        <f t="shared" si="12"/>
        <v>0</v>
      </c>
      <c r="AW33" s="1475">
        <f t="shared" si="13"/>
        <v>0</v>
      </c>
      <c r="AX33" s="1475">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1763"/>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1764"/>
      <c r="AV34" s="1475">
        <f t="shared" si="12"/>
        <v>0</v>
      </c>
      <c r="AW34" s="1475">
        <f t="shared" si="13"/>
        <v>0</v>
      </c>
      <c r="AX34" s="1475">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1763"/>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1764"/>
      <c r="AV35" s="1475">
        <f t="shared" si="12"/>
        <v>0</v>
      </c>
      <c r="AW35" s="1475">
        <f t="shared" si="13"/>
        <v>0</v>
      </c>
      <c r="AX35" s="1475">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1763"/>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1764"/>
      <c r="AV36" s="1475">
        <f t="shared" si="12"/>
        <v>0</v>
      </c>
      <c r="AW36" s="1475">
        <f t="shared" si="13"/>
        <v>0</v>
      </c>
      <c r="AX36" s="1475">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1763"/>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1764"/>
      <c r="AV37" s="1475">
        <f t="shared" si="12"/>
        <v>0</v>
      </c>
      <c r="AW37" s="1475">
        <f t="shared" si="13"/>
        <v>0</v>
      </c>
      <c r="AX37" s="1475">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1763"/>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1764"/>
      <c r="AV38" s="1475">
        <f t="shared" si="12"/>
        <v>0</v>
      </c>
      <c r="AW38" s="1475">
        <f t="shared" si="13"/>
        <v>0</v>
      </c>
      <c r="AX38" s="1475">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1763"/>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1764"/>
      <c r="AV39" s="1475">
        <f t="shared" si="12"/>
        <v>0</v>
      </c>
      <c r="AW39" s="1475">
        <f t="shared" si="13"/>
        <v>0</v>
      </c>
      <c r="AX39" s="1475">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1763"/>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1764"/>
      <c r="AV40" s="1475">
        <f t="shared" si="12"/>
        <v>0</v>
      </c>
      <c r="AW40" s="1475">
        <f t="shared" si="13"/>
        <v>0</v>
      </c>
      <c r="AX40" s="1475">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1763"/>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1764"/>
      <c r="AV41" s="1475">
        <f t="shared" si="12"/>
        <v>0</v>
      </c>
      <c r="AW41" s="1475">
        <f t="shared" si="13"/>
        <v>0</v>
      </c>
      <c r="AX41" s="1475">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1763"/>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1764"/>
      <c r="AV42" s="1475">
        <f t="shared" si="12"/>
        <v>0</v>
      </c>
      <c r="AW42" s="1475">
        <f t="shared" si="13"/>
        <v>0</v>
      </c>
      <c r="AX42" s="1475">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1763"/>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1764"/>
      <c r="AV43" s="1475">
        <f t="shared" si="12"/>
        <v>0</v>
      </c>
      <c r="AW43" s="1475">
        <f t="shared" si="13"/>
        <v>0</v>
      </c>
      <c r="AX43" s="1475">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1763"/>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1764"/>
      <c r="AV44" s="1475">
        <f t="shared" si="12"/>
        <v>0</v>
      </c>
      <c r="AW44" s="1475">
        <f t="shared" si="13"/>
        <v>0</v>
      </c>
      <c r="AX44" s="1475">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1763"/>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1764"/>
      <c r="AV45" s="1475">
        <f t="shared" si="12"/>
        <v>0</v>
      </c>
      <c r="AW45" s="1475">
        <f t="shared" si="13"/>
        <v>0</v>
      </c>
      <c r="AX45" s="1475">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1763"/>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1764"/>
      <c r="AV46" s="1475">
        <f t="shared" si="12"/>
        <v>0</v>
      </c>
      <c r="AW46" s="1475">
        <f t="shared" si="13"/>
        <v>0</v>
      </c>
      <c r="AX46" s="1475">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1763"/>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1764"/>
      <c r="AV47" s="1475">
        <f t="shared" si="12"/>
        <v>0</v>
      </c>
      <c r="AW47" s="1475">
        <f t="shared" si="13"/>
        <v>0</v>
      </c>
      <c r="AX47" s="1475">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1763"/>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1764"/>
      <c r="AV48" s="1475">
        <f t="shared" si="12"/>
        <v>0</v>
      </c>
      <c r="AW48" s="1475">
        <f t="shared" si="13"/>
        <v>0</v>
      </c>
      <c r="AX48" s="1475">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1763"/>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1764"/>
      <c r="AV49" s="1475">
        <f t="shared" si="12"/>
        <v>0</v>
      </c>
      <c r="AW49" s="1475">
        <f t="shared" si="13"/>
        <v>0</v>
      </c>
      <c r="AX49" s="1475">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1763"/>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1764"/>
      <c r="AV50" s="1475">
        <f t="shared" si="12"/>
        <v>0</v>
      </c>
      <c r="AW50" s="1475">
        <f t="shared" si="13"/>
        <v>0</v>
      </c>
      <c r="AX50" s="1475">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1763"/>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1764"/>
      <c r="AV51" s="1475">
        <f t="shared" si="12"/>
        <v>0</v>
      </c>
      <c r="AW51" s="1475">
        <f t="shared" si="13"/>
        <v>0</v>
      </c>
      <c r="AX51" s="1475">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1763"/>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1764"/>
      <c r="AV52" s="1475">
        <f t="shared" si="12"/>
        <v>0</v>
      </c>
      <c r="AW52" s="1475">
        <f t="shared" si="13"/>
        <v>0</v>
      </c>
      <c r="AX52" s="1475">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1763"/>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1764"/>
      <c r="AV53" s="1475">
        <f t="shared" si="12"/>
        <v>0</v>
      </c>
      <c r="AW53" s="1475">
        <f t="shared" si="13"/>
        <v>0</v>
      </c>
      <c r="AX53" s="1475">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1763"/>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1764"/>
      <c r="AV54" s="1475">
        <f t="shared" si="12"/>
        <v>0</v>
      </c>
      <c r="AW54" s="1475">
        <f t="shared" si="13"/>
        <v>0</v>
      </c>
      <c r="AX54" s="1475">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1763"/>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1764"/>
      <c r="AV55" s="1475">
        <f t="shared" si="12"/>
        <v>0</v>
      </c>
      <c r="AW55" s="1475">
        <f t="shared" si="13"/>
        <v>0</v>
      </c>
      <c r="AX55" s="1475">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1763"/>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1764"/>
      <c r="AV56" s="1475">
        <f t="shared" si="12"/>
        <v>0</v>
      </c>
      <c r="AW56" s="1475">
        <f t="shared" si="13"/>
        <v>0</v>
      </c>
      <c r="AX56" s="1475">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1763"/>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1764"/>
      <c r="AV57" s="1475">
        <f t="shared" si="12"/>
        <v>0</v>
      </c>
      <c r="AW57" s="1475">
        <f t="shared" si="13"/>
        <v>0</v>
      </c>
      <c r="AX57" s="1475">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1763"/>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1764"/>
      <c r="AV58" s="1475">
        <f t="shared" si="12"/>
        <v>0</v>
      </c>
      <c r="AW58" s="1475">
        <f t="shared" si="13"/>
        <v>0</v>
      </c>
      <c r="AX58" s="1475">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1763"/>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1764"/>
      <c r="AV59" s="1475">
        <f t="shared" si="12"/>
        <v>0</v>
      </c>
      <c r="AW59" s="1475">
        <f t="shared" si="13"/>
        <v>0</v>
      </c>
      <c r="AX59" s="1475">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1763"/>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1764"/>
      <c r="AV60" s="1475">
        <f t="shared" si="12"/>
        <v>0</v>
      </c>
      <c r="AW60" s="1475">
        <f t="shared" si="13"/>
        <v>0</v>
      </c>
      <c r="AX60" s="1475">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1763"/>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1764"/>
      <c r="AV61" s="1475">
        <f t="shared" si="12"/>
        <v>0</v>
      </c>
      <c r="AW61" s="1475">
        <f t="shared" si="13"/>
        <v>0</v>
      </c>
      <c r="AX61" s="1475">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1763"/>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1764"/>
      <c r="AV62" s="1475">
        <f t="shared" si="12"/>
        <v>0</v>
      </c>
      <c r="AW62" s="1475">
        <f t="shared" si="13"/>
        <v>0</v>
      </c>
      <c r="AX62" s="1475">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1763"/>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1764"/>
      <c r="AV63" s="1475">
        <f t="shared" si="12"/>
        <v>0</v>
      </c>
      <c r="AW63" s="1475">
        <f t="shared" si="13"/>
        <v>0</v>
      </c>
      <c r="AX63" s="1475">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1763"/>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1764"/>
      <c r="AV64" s="1475">
        <f t="shared" si="12"/>
        <v>0</v>
      </c>
      <c r="AW64" s="1475">
        <f t="shared" si="13"/>
        <v>0</v>
      </c>
      <c r="AX64" s="1475">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1763"/>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1764"/>
      <c r="AV65" s="1475">
        <f t="shared" si="12"/>
        <v>0</v>
      </c>
      <c r="AW65" s="1475">
        <f t="shared" si="13"/>
        <v>0</v>
      </c>
      <c r="AX65" s="1475">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1763"/>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1764"/>
      <c r="AV66" s="1475">
        <f t="shared" si="12"/>
        <v>0</v>
      </c>
      <c r="AW66" s="1475">
        <f t="shared" si="13"/>
        <v>0</v>
      </c>
      <c r="AX66" s="1475">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1763"/>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1764"/>
      <c r="AV67" s="1475">
        <f t="shared" si="12"/>
        <v>0</v>
      </c>
      <c r="AW67" s="1475">
        <f t="shared" si="13"/>
        <v>0</v>
      </c>
      <c r="AX67" s="1475">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1763"/>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1764"/>
      <c r="AV68" s="1475">
        <f t="shared" si="12"/>
        <v>0</v>
      </c>
      <c r="AW68" s="1475">
        <f t="shared" si="13"/>
        <v>0</v>
      </c>
      <c r="AX68" s="1475">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1763"/>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1764"/>
      <c r="AV69" s="1475">
        <f t="shared" si="12"/>
        <v>0</v>
      </c>
      <c r="AW69" s="1475">
        <f t="shared" si="13"/>
        <v>0</v>
      </c>
      <c r="AX69" s="1475">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1763"/>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1764"/>
      <c r="AV70" s="1475">
        <f t="shared" si="12"/>
        <v>0</v>
      </c>
      <c r="AW70" s="1475">
        <f t="shared" si="13"/>
        <v>0</v>
      </c>
      <c r="AX70" s="1475">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1763"/>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1764"/>
      <c r="AV71" s="1475">
        <f t="shared" si="12"/>
        <v>0</v>
      </c>
      <c r="AW71" s="1475">
        <f t="shared" si="13"/>
        <v>0</v>
      </c>
      <c r="AX71" s="1475">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1763"/>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1764"/>
      <c r="AV72" s="1475">
        <f t="shared" si="12"/>
        <v>0</v>
      </c>
      <c r="AW72" s="1475">
        <f t="shared" si="13"/>
        <v>0</v>
      </c>
      <c r="AX72" s="1475">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1763"/>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1764"/>
      <c r="AV73" s="1475">
        <f t="shared" si="12"/>
        <v>0</v>
      </c>
      <c r="AW73" s="1475">
        <f t="shared" si="13"/>
        <v>0</v>
      </c>
      <c r="AX73" s="1475">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1763"/>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1764"/>
      <c r="AV74" s="1475">
        <f t="shared" si="12"/>
        <v>0</v>
      </c>
      <c r="AW74" s="1475">
        <f t="shared" si="13"/>
        <v>0</v>
      </c>
      <c r="AX74" s="1475">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1763"/>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1764"/>
      <c r="AV75" s="1475">
        <f t="shared" si="12"/>
        <v>0</v>
      </c>
      <c r="AW75" s="1475">
        <f t="shared" si="13"/>
        <v>0</v>
      </c>
      <c r="AX75" s="1475">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1763"/>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1764"/>
      <c r="AV76" s="1475">
        <f t="shared" si="12"/>
        <v>0</v>
      </c>
      <c r="AW76" s="1475">
        <f t="shared" si="13"/>
        <v>0</v>
      </c>
      <c r="AX76" s="1475">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1763"/>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1764"/>
      <c r="AV77" s="1475">
        <f t="shared" si="12"/>
        <v>0</v>
      </c>
      <c r="AW77" s="1475">
        <f t="shared" si="13"/>
        <v>0</v>
      </c>
      <c r="AX77" s="1475">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1763"/>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1764"/>
      <c r="AV78" s="1475">
        <f t="shared" si="12"/>
        <v>0</v>
      </c>
      <c r="AW78" s="1475">
        <f t="shared" si="13"/>
        <v>0</v>
      </c>
      <c r="AX78" s="1475">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1763"/>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1764"/>
      <c r="AV79" s="1475">
        <f t="shared" si="12"/>
        <v>0</v>
      </c>
      <c r="AW79" s="1475">
        <f t="shared" si="13"/>
        <v>0</v>
      </c>
      <c r="AX79" s="1475">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1763"/>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1764"/>
      <c r="AV80" s="1475">
        <f t="shared" si="12"/>
        <v>0</v>
      </c>
      <c r="AW80" s="1475">
        <f t="shared" si="13"/>
        <v>0</v>
      </c>
      <c r="AX80" s="1475">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1763"/>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1764"/>
      <c r="AV81" s="1475">
        <f t="shared" si="12"/>
        <v>0</v>
      </c>
      <c r="AW81" s="1475">
        <f t="shared" si="13"/>
        <v>0</v>
      </c>
      <c r="AX81" s="1475">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1763"/>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1764"/>
      <c r="AV82" s="1475">
        <f t="shared" si="12"/>
        <v>0</v>
      </c>
      <c r="AW82" s="1475">
        <f t="shared" si="13"/>
        <v>0</v>
      </c>
      <c r="AX82" s="1475">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1763"/>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1764"/>
      <c r="AV83" s="1475">
        <f t="shared" si="12"/>
        <v>0</v>
      </c>
      <c r="AW83" s="1475">
        <f t="shared" si="13"/>
        <v>0</v>
      </c>
      <c r="AX83" s="1475">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1763"/>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1764"/>
      <c r="AV84" s="1475">
        <f t="shared" si="12"/>
        <v>0</v>
      </c>
      <c r="AW84" s="1475">
        <f t="shared" si="13"/>
        <v>0</v>
      </c>
      <c r="AX84" s="1475">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1763"/>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1764"/>
      <c r="AV85" s="1475">
        <f t="shared" si="12"/>
        <v>0</v>
      </c>
      <c r="AW85" s="1475">
        <f t="shared" si="13"/>
        <v>0</v>
      </c>
      <c r="AX85" s="1475">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1763"/>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1764"/>
      <c r="AV86" s="1475">
        <f t="shared" si="12"/>
        <v>0</v>
      </c>
      <c r="AW86" s="1475">
        <f t="shared" si="13"/>
        <v>0</v>
      </c>
      <c r="AX86" s="1475">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1763"/>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1764"/>
      <c r="AV87" s="1475">
        <f t="shared" si="12"/>
        <v>0</v>
      </c>
      <c r="AW87" s="1475">
        <f t="shared" si="13"/>
        <v>0</v>
      </c>
      <c r="AX87" s="1475">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1763"/>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1764"/>
      <c r="AV88" s="1475">
        <f t="shared" si="12"/>
        <v>0</v>
      </c>
      <c r="AW88" s="1475">
        <f t="shared" si="13"/>
        <v>0</v>
      </c>
      <c r="AX88" s="1475">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1763"/>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1764"/>
      <c r="AV89" s="1475">
        <f t="shared" si="12"/>
        <v>0</v>
      </c>
      <c r="AW89" s="1475">
        <f t="shared" si="13"/>
        <v>0</v>
      </c>
      <c r="AX89" s="1475">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1763"/>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1764"/>
      <c r="AV90" s="1475">
        <f t="shared" si="12"/>
        <v>0</v>
      </c>
      <c r="AW90" s="1475">
        <f t="shared" si="13"/>
        <v>0</v>
      </c>
      <c r="AX90" s="1475">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1763"/>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1764"/>
      <c r="AV91" s="1475">
        <f t="shared" si="12"/>
        <v>0</v>
      </c>
      <c r="AW91" s="1475">
        <f t="shared" si="13"/>
        <v>0</v>
      </c>
      <c r="AX91" s="1475">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1763"/>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1764"/>
      <c r="AV92" s="1475">
        <f t="shared" si="12"/>
        <v>0</v>
      </c>
      <c r="AW92" s="1475">
        <f t="shared" si="13"/>
        <v>0</v>
      </c>
      <c r="AX92" s="1475">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1763"/>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1764"/>
      <c r="AV93" s="1475">
        <f t="shared" si="12"/>
        <v>0</v>
      </c>
      <c r="AW93" s="1475">
        <f t="shared" si="13"/>
        <v>0</v>
      </c>
      <c r="AX93" s="1475">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1763"/>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1764"/>
      <c r="AV94" s="1475">
        <f t="shared" si="12"/>
        <v>0</v>
      </c>
      <c r="AW94" s="1475">
        <f t="shared" si="13"/>
        <v>0</v>
      </c>
      <c r="AX94" s="1475">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1763"/>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1764"/>
      <c r="AV95" s="1475">
        <f t="shared" si="12"/>
        <v>0</v>
      </c>
      <c r="AW95" s="1475">
        <f t="shared" si="13"/>
        <v>0</v>
      </c>
      <c r="AX95" s="1475">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1763"/>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1764"/>
      <c r="AV96" s="1475">
        <f t="shared" si="12"/>
        <v>0</v>
      </c>
      <c r="AW96" s="1475">
        <f t="shared" si="13"/>
        <v>0</v>
      </c>
      <c r="AX96" s="1475">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1763"/>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1764"/>
      <c r="AV97" s="1475">
        <f t="shared" si="12"/>
        <v>0</v>
      </c>
      <c r="AW97" s="1475">
        <f t="shared" si="13"/>
        <v>0</v>
      </c>
      <c r="AX97" s="1475">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1763"/>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1764"/>
      <c r="AV98" s="1475">
        <f t="shared" si="12"/>
        <v>0</v>
      </c>
      <c r="AW98" s="1475">
        <f t="shared" si="13"/>
        <v>0</v>
      </c>
      <c r="AX98" s="1475">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1763"/>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1764"/>
      <c r="AV99" s="1475">
        <f t="shared" si="12"/>
        <v>0</v>
      </c>
      <c r="AW99" s="1475">
        <f t="shared" si="13"/>
        <v>0</v>
      </c>
      <c r="AX99" s="1475">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1763"/>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1764"/>
      <c r="AV100" s="1475">
        <f t="shared" si="12"/>
        <v>0</v>
      </c>
      <c r="AW100" s="1475">
        <f t="shared" si="13"/>
        <v>0</v>
      </c>
      <c r="AX100" s="1475">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1763"/>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1764"/>
      <c r="AV101" s="1475">
        <f t="shared" si="12"/>
        <v>0</v>
      </c>
      <c r="AW101" s="1475">
        <f t="shared" si="13"/>
        <v>0</v>
      </c>
      <c r="AX101" s="1475">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1763"/>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1764"/>
      <c r="AV102" s="1475">
        <f t="shared" si="12"/>
        <v>0</v>
      </c>
      <c r="AW102" s="1475">
        <f t="shared" si="13"/>
        <v>0</v>
      </c>
      <c r="AX102" s="1475">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1763"/>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1764"/>
      <c r="AV103" s="1475">
        <f t="shared" si="12"/>
        <v>0</v>
      </c>
      <c r="AW103" s="1475">
        <f t="shared" si="13"/>
        <v>0</v>
      </c>
      <c r="AX103" s="1475">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1763"/>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1764"/>
      <c r="AV104" s="1475">
        <f t="shared" si="12"/>
        <v>0</v>
      </c>
      <c r="AW104" s="1475">
        <f t="shared" si="13"/>
        <v>0</v>
      </c>
      <c r="AX104" s="1475">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1763"/>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1764"/>
      <c r="AV105" s="1475">
        <f t="shared" si="12"/>
        <v>0</v>
      </c>
      <c r="AW105" s="1475">
        <f t="shared" si="13"/>
        <v>0</v>
      </c>
      <c r="AX105" s="1475">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1763"/>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1764"/>
      <c r="AV106" s="1475">
        <f t="shared" si="12"/>
        <v>0</v>
      </c>
      <c r="AW106" s="1475">
        <f t="shared" si="13"/>
        <v>0</v>
      </c>
      <c r="AX106" s="1475">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1763"/>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1764"/>
      <c r="AV107" s="1475">
        <f t="shared" si="12"/>
        <v>0</v>
      </c>
      <c r="AW107" s="1475">
        <f t="shared" si="13"/>
        <v>0</v>
      </c>
      <c r="AX107" s="1475">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1763"/>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1764"/>
      <c r="AV108" s="1475">
        <f t="shared" si="12"/>
        <v>0</v>
      </c>
      <c r="AW108" s="1475">
        <f t="shared" si="13"/>
        <v>0</v>
      </c>
      <c r="AX108" s="1475">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1763"/>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1764"/>
      <c r="AV109" s="1475">
        <f t="shared" si="12"/>
        <v>0</v>
      </c>
      <c r="AW109" s="1475">
        <f t="shared" si="13"/>
        <v>0</v>
      </c>
      <c r="AX109" s="1475">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1763"/>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2"/>
        <v>0</v>
      </c>
      <c r="AW110" s="1475">
        <f t="shared" si="13"/>
        <v>0</v>
      </c>
      <c r="AX110" s="1475">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1763"/>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1704"/>
      <c r="AV111" s="1475">
        <f t="shared" si="12"/>
        <v>0</v>
      </c>
      <c r="AW111" s="1475">
        <f t="shared" si="13"/>
        <v>0</v>
      </c>
      <c r="AX111" s="1475">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1763"/>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1704"/>
      <c r="AV112" s="1475">
        <f t="shared" si="12"/>
        <v>0</v>
      </c>
      <c r="AW112" s="1475">
        <f t="shared" si="13"/>
        <v>0</v>
      </c>
      <c r="AX112" s="1475">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1763"/>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3">A113</f>
        <v>0</v>
      </c>
      <c r="AW113" s="1475">
        <f t="shared" ref="AW113:AW144" si="64">B113</f>
        <v>0</v>
      </c>
      <c r="AX113" s="1475">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1763"/>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1764"/>
      <c r="AV114" s="1475">
        <f t="shared" si="63"/>
        <v>0</v>
      </c>
      <c r="AW114" s="1475">
        <f t="shared" si="64"/>
        <v>0</v>
      </c>
      <c r="AX114" s="1475">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1763"/>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1764"/>
      <c r="AV115" s="1475">
        <f t="shared" si="63"/>
        <v>0</v>
      </c>
      <c r="AW115" s="1475">
        <f t="shared" si="64"/>
        <v>0</v>
      </c>
      <c r="AX115" s="1475">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1763"/>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1764"/>
      <c r="AV116" s="1475">
        <f t="shared" si="63"/>
        <v>0</v>
      </c>
      <c r="AW116" s="1475">
        <f t="shared" si="64"/>
        <v>0</v>
      </c>
      <c r="AX116" s="1475">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1763"/>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1764"/>
      <c r="AV117" s="1475">
        <f t="shared" si="63"/>
        <v>0</v>
      </c>
      <c r="AW117" s="1475">
        <f t="shared" si="64"/>
        <v>0</v>
      </c>
      <c r="AX117" s="1475">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1763"/>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1764"/>
      <c r="AV118" s="1475">
        <f t="shared" si="63"/>
        <v>0</v>
      </c>
      <c r="AW118" s="1475">
        <f t="shared" si="64"/>
        <v>0</v>
      </c>
      <c r="AX118" s="1475">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1763"/>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1764"/>
      <c r="AV119" s="1475">
        <f t="shared" si="63"/>
        <v>0</v>
      </c>
      <c r="AW119" s="1475">
        <f t="shared" si="64"/>
        <v>0</v>
      </c>
      <c r="AX119" s="1475">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1763"/>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1764"/>
      <c r="AV120" s="1475">
        <f t="shared" si="63"/>
        <v>0</v>
      </c>
      <c r="AW120" s="1475">
        <f t="shared" si="64"/>
        <v>0</v>
      </c>
      <c r="AX120" s="1475">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1763"/>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1764"/>
      <c r="AV121" s="1475">
        <f t="shared" si="63"/>
        <v>0</v>
      </c>
      <c r="AW121" s="1475">
        <f t="shared" si="64"/>
        <v>0</v>
      </c>
      <c r="AX121" s="1475">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1763"/>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1764"/>
      <c r="AV122" s="1475">
        <f t="shared" si="63"/>
        <v>0</v>
      </c>
      <c r="AW122" s="1475">
        <f t="shared" si="64"/>
        <v>0</v>
      </c>
      <c r="AX122" s="1475">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1763"/>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1764"/>
      <c r="AV123" s="1475">
        <f t="shared" si="63"/>
        <v>0</v>
      </c>
      <c r="AW123" s="1475">
        <f t="shared" si="64"/>
        <v>0</v>
      </c>
      <c r="AX123" s="1475">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1763"/>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1764"/>
      <c r="AV124" s="1475">
        <f t="shared" si="63"/>
        <v>0</v>
      </c>
      <c r="AW124" s="1475">
        <f t="shared" si="64"/>
        <v>0</v>
      </c>
      <c r="AX124" s="1475">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1763"/>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1764"/>
      <c r="AV125" s="1475">
        <f t="shared" si="63"/>
        <v>0</v>
      </c>
      <c r="AW125" s="1475">
        <f t="shared" si="64"/>
        <v>0</v>
      </c>
      <c r="AX125" s="1475">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1763"/>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1764"/>
      <c r="AV126" s="1475">
        <f t="shared" si="63"/>
        <v>0</v>
      </c>
      <c r="AW126" s="1475">
        <f t="shared" si="64"/>
        <v>0</v>
      </c>
      <c r="AX126" s="1475">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1763"/>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1764"/>
      <c r="AV127" s="1475">
        <f t="shared" si="63"/>
        <v>0</v>
      </c>
      <c r="AW127" s="1475">
        <f t="shared" si="64"/>
        <v>0</v>
      </c>
      <c r="AX127" s="1475">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1763"/>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1764"/>
      <c r="AV128" s="1475">
        <f t="shared" si="63"/>
        <v>0</v>
      </c>
      <c r="AW128" s="1475">
        <f t="shared" si="64"/>
        <v>0</v>
      </c>
      <c r="AX128" s="1475">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1763"/>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1764"/>
      <c r="AV129" s="1475">
        <f t="shared" si="63"/>
        <v>0</v>
      </c>
      <c r="AW129" s="1475">
        <f t="shared" si="64"/>
        <v>0</v>
      </c>
      <c r="AX129" s="1475">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1763"/>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1764"/>
      <c r="AV130" s="1475">
        <f t="shared" si="63"/>
        <v>0</v>
      </c>
      <c r="AW130" s="1475">
        <f t="shared" si="64"/>
        <v>0</v>
      </c>
      <c r="AX130" s="1475">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1763"/>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1764"/>
      <c r="AV131" s="1475">
        <f t="shared" si="63"/>
        <v>0</v>
      </c>
      <c r="AW131" s="1475">
        <f t="shared" si="64"/>
        <v>0</v>
      </c>
      <c r="AX131" s="1475">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1763"/>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1764"/>
      <c r="AV132" s="1475">
        <f t="shared" si="63"/>
        <v>0</v>
      </c>
      <c r="AW132" s="1475">
        <f t="shared" si="64"/>
        <v>0</v>
      </c>
      <c r="AX132" s="1475">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1763"/>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1764"/>
      <c r="AV133" s="1475">
        <f t="shared" si="63"/>
        <v>0</v>
      </c>
      <c r="AW133" s="1475">
        <f t="shared" si="64"/>
        <v>0</v>
      </c>
      <c r="AX133" s="1475">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1763"/>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1764"/>
      <c r="AV134" s="1475">
        <f t="shared" si="63"/>
        <v>0</v>
      </c>
      <c r="AW134" s="1475">
        <f t="shared" si="64"/>
        <v>0</v>
      </c>
      <c r="AX134" s="1475">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1763"/>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1764"/>
      <c r="AV135" s="1475">
        <f t="shared" si="63"/>
        <v>0</v>
      </c>
      <c r="AW135" s="1475">
        <f t="shared" si="64"/>
        <v>0</v>
      </c>
      <c r="AX135" s="1475">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1763"/>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1764"/>
      <c r="AV136" s="1475">
        <f t="shared" si="63"/>
        <v>0</v>
      </c>
      <c r="AW136" s="1475">
        <f t="shared" si="64"/>
        <v>0</v>
      </c>
      <c r="AX136" s="1475">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1763"/>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1764"/>
      <c r="AV137" s="1475">
        <f t="shared" si="63"/>
        <v>0</v>
      </c>
      <c r="AW137" s="1475">
        <f t="shared" si="64"/>
        <v>0</v>
      </c>
      <c r="AX137" s="1475">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1763"/>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1764"/>
      <c r="AV138" s="1475">
        <f t="shared" si="63"/>
        <v>0</v>
      </c>
      <c r="AW138" s="1475">
        <f t="shared" si="64"/>
        <v>0</v>
      </c>
      <c r="AX138" s="1475">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1763"/>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1764"/>
      <c r="AV139" s="1475">
        <f t="shared" si="63"/>
        <v>0</v>
      </c>
      <c r="AW139" s="1475">
        <f t="shared" si="64"/>
        <v>0</v>
      </c>
      <c r="AX139" s="1475">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1763"/>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1764"/>
      <c r="AV140" s="1475">
        <f t="shared" si="63"/>
        <v>0</v>
      </c>
      <c r="AW140" s="1475">
        <f t="shared" si="64"/>
        <v>0</v>
      </c>
      <c r="AX140" s="1475">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1763"/>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1764"/>
      <c r="AV141" s="1475">
        <f t="shared" si="63"/>
        <v>0</v>
      </c>
      <c r="AW141" s="1475">
        <f t="shared" si="64"/>
        <v>0</v>
      </c>
      <c r="AX141" s="1475">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1763"/>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3"/>
        <v>0</v>
      </c>
      <c r="AW142" s="1475">
        <f t="shared" si="64"/>
        <v>0</v>
      </c>
      <c r="AX142" s="1475">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1763"/>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1764"/>
      <c r="AV143" s="1475">
        <f t="shared" si="63"/>
        <v>0</v>
      </c>
      <c r="AW143" s="1475">
        <f t="shared" si="64"/>
        <v>0</v>
      </c>
      <c r="AX143" s="1475">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1763"/>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1764"/>
      <c r="AV144" s="1475">
        <f t="shared" si="63"/>
        <v>0</v>
      </c>
      <c r="AW144" s="1475">
        <f t="shared" si="64"/>
        <v>0</v>
      </c>
      <c r="AX144" s="1475">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1763"/>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2">A145</f>
        <v>0</v>
      </c>
      <c r="AW145" s="1475">
        <f t="shared" ref="AW145:AW176" si="93">B145</f>
        <v>0</v>
      </c>
      <c r="AX145" s="1475">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1763"/>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1764"/>
      <c r="AV146" s="1475">
        <f t="shared" si="92"/>
        <v>0</v>
      </c>
      <c r="AW146" s="1475">
        <f t="shared" si="93"/>
        <v>0</v>
      </c>
      <c r="AX146" s="1475">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1763"/>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1764"/>
      <c r="AV147" s="1475">
        <f t="shared" si="92"/>
        <v>0</v>
      </c>
      <c r="AW147" s="1475">
        <f t="shared" si="93"/>
        <v>0</v>
      </c>
      <c r="AX147" s="1475">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1763"/>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1764"/>
      <c r="AV148" s="1475">
        <f t="shared" si="92"/>
        <v>0</v>
      </c>
      <c r="AW148" s="1475">
        <f t="shared" si="93"/>
        <v>0</v>
      </c>
      <c r="AX148" s="1475">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1763"/>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1764"/>
      <c r="AV149" s="1475">
        <f t="shared" si="92"/>
        <v>0</v>
      </c>
      <c r="AW149" s="1475">
        <f t="shared" si="93"/>
        <v>0</v>
      </c>
      <c r="AX149" s="1475">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1763"/>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1764"/>
      <c r="AV150" s="1475">
        <f t="shared" si="92"/>
        <v>0</v>
      </c>
      <c r="AW150" s="1475">
        <f t="shared" si="93"/>
        <v>0</v>
      </c>
      <c r="AX150" s="1475">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1763"/>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1764"/>
      <c r="AV151" s="1475">
        <f t="shared" si="92"/>
        <v>0</v>
      </c>
      <c r="AW151" s="1475">
        <f t="shared" si="93"/>
        <v>0</v>
      </c>
      <c r="AX151" s="1475">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1763"/>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1764"/>
      <c r="AV152" s="1475">
        <f t="shared" si="92"/>
        <v>0</v>
      </c>
      <c r="AW152" s="1475">
        <f t="shared" si="93"/>
        <v>0</v>
      </c>
      <c r="AX152" s="1475">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1763"/>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1764"/>
      <c r="AV153" s="1475">
        <f t="shared" si="92"/>
        <v>0</v>
      </c>
      <c r="AW153" s="1475">
        <f t="shared" si="93"/>
        <v>0</v>
      </c>
      <c r="AX153" s="1475">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1763"/>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1764"/>
      <c r="AV154" s="1475">
        <f t="shared" si="92"/>
        <v>0</v>
      </c>
      <c r="AW154" s="1475">
        <f t="shared" si="93"/>
        <v>0</v>
      </c>
      <c r="AX154" s="1475">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1763"/>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1764"/>
      <c r="AV155" s="1475">
        <f t="shared" si="92"/>
        <v>0</v>
      </c>
      <c r="AW155" s="1475">
        <f t="shared" si="93"/>
        <v>0</v>
      </c>
      <c r="AX155" s="1475">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1763"/>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1764"/>
      <c r="AV156" s="1475">
        <f t="shared" si="92"/>
        <v>0</v>
      </c>
      <c r="AW156" s="1475">
        <f t="shared" si="93"/>
        <v>0</v>
      </c>
      <c r="AX156" s="1475">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1763"/>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1764"/>
      <c r="AV157" s="1475">
        <f t="shared" si="92"/>
        <v>0</v>
      </c>
      <c r="AW157" s="1475">
        <f t="shared" si="93"/>
        <v>0</v>
      </c>
      <c r="AX157" s="1475">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1763"/>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1764"/>
      <c r="AV158" s="1475">
        <f t="shared" si="92"/>
        <v>0</v>
      </c>
      <c r="AW158" s="1475">
        <f t="shared" si="93"/>
        <v>0</v>
      </c>
      <c r="AX158" s="1475">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1763"/>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1764"/>
      <c r="AV159" s="1475">
        <f t="shared" si="92"/>
        <v>0</v>
      </c>
      <c r="AW159" s="1475">
        <f t="shared" si="93"/>
        <v>0</v>
      </c>
      <c r="AX159" s="1475">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1763"/>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1764"/>
      <c r="AV160" s="1475">
        <f t="shared" si="92"/>
        <v>0</v>
      </c>
      <c r="AW160" s="1475">
        <f t="shared" si="93"/>
        <v>0</v>
      </c>
      <c r="AX160" s="1475">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1763"/>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1764"/>
      <c r="AV161" s="1475">
        <f t="shared" si="92"/>
        <v>0</v>
      </c>
      <c r="AW161" s="1475">
        <f t="shared" si="93"/>
        <v>0</v>
      </c>
      <c r="AX161" s="1475">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1763"/>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1764"/>
      <c r="AV162" s="1475">
        <f t="shared" si="92"/>
        <v>0</v>
      </c>
      <c r="AW162" s="1475">
        <f t="shared" si="93"/>
        <v>0</v>
      </c>
      <c r="AX162" s="1475">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1763"/>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1764"/>
      <c r="AV163" s="1475">
        <f t="shared" si="92"/>
        <v>0</v>
      </c>
      <c r="AW163" s="1475">
        <f t="shared" si="93"/>
        <v>0</v>
      </c>
      <c r="AX163" s="1475">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1763"/>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1764"/>
      <c r="AV164" s="1475">
        <f t="shared" si="92"/>
        <v>0</v>
      </c>
      <c r="AW164" s="1475">
        <f t="shared" si="93"/>
        <v>0</v>
      </c>
      <c r="AX164" s="1475">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1763"/>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1764"/>
      <c r="AV165" s="1475">
        <f t="shared" si="92"/>
        <v>0</v>
      </c>
      <c r="AW165" s="1475">
        <f t="shared" si="93"/>
        <v>0</v>
      </c>
      <c r="AX165" s="1475">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1763"/>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1764"/>
      <c r="AV166" s="1475">
        <f t="shared" si="92"/>
        <v>0</v>
      </c>
      <c r="AW166" s="1475">
        <f t="shared" si="93"/>
        <v>0</v>
      </c>
      <c r="AX166" s="1475">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1763"/>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1764"/>
      <c r="AV167" s="1475">
        <f t="shared" si="92"/>
        <v>0</v>
      </c>
      <c r="AW167" s="1475">
        <f t="shared" si="93"/>
        <v>0</v>
      </c>
      <c r="AX167" s="1475">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1763"/>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1764"/>
      <c r="AV168" s="1475">
        <f t="shared" si="92"/>
        <v>0</v>
      </c>
      <c r="AW168" s="1475">
        <f t="shared" si="93"/>
        <v>0</v>
      </c>
      <c r="AX168" s="1475">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1763"/>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1764"/>
      <c r="AV169" s="1475">
        <f t="shared" si="92"/>
        <v>0</v>
      </c>
      <c r="AW169" s="1475">
        <f t="shared" si="93"/>
        <v>0</v>
      </c>
      <c r="AX169" s="1475">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1763"/>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1764"/>
      <c r="AV170" s="1475">
        <f t="shared" si="92"/>
        <v>0</v>
      </c>
      <c r="AW170" s="1475">
        <f t="shared" si="93"/>
        <v>0</v>
      </c>
      <c r="AX170" s="1475">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1763"/>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1764"/>
      <c r="AV171" s="1475">
        <f t="shared" si="92"/>
        <v>0</v>
      </c>
      <c r="AW171" s="1475">
        <f t="shared" si="93"/>
        <v>0</v>
      </c>
      <c r="AX171" s="1475">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1763"/>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1764"/>
      <c r="AV172" s="1475">
        <f t="shared" si="92"/>
        <v>0</v>
      </c>
      <c r="AW172" s="1475">
        <f t="shared" si="93"/>
        <v>0</v>
      </c>
      <c r="AX172" s="1475">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1763"/>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1764"/>
      <c r="AV173" s="1475">
        <f t="shared" si="92"/>
        <v>0</v>
      </c>
      <c r="AW173" s="1475">
        <f t="shared" si="93"/>
        <v>0</v>
      </c>
      <c r="AX173" s="1475">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1763"/>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2"/>
        <v>0</v>
      </c>
      <c r="AW174" s="1475">
        <f t="shared" si="93"/>
        <v>0</v>
      </c>
      <c r="AX174" s="1475">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1763"/>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1764"/>
      <c r="AV175" s="1475">
        <f t="shared" si="92"/>
        <v>0</v>
      </c>
      <c r="AW175" s="1475">
        <f t="shared" si="93"/>
        <v>0</v>
      </c>
      <c r="AX175" s="1475">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1763"/>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1764"/>
      <c r="AV176" s="1475">
        <f t="shared" si="92"/>
        <v>0</v>
      </c>
      <c r="AW176" s="1475">
        <f t="shared" si="93"/>
        <v>0</v>
      </c>
      <c r="AX176" s="1475">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1763"/>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1">A177</f>
        <v>0</v>
      </c>
      <c r="AW177" s="1475">
        <f t="shared" ref="AW177:AW207" si="122">B177</f>
        <v>0</v>
      </c>
      <c r="AX177" s="1475">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1763"/>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1764"/>
      <c r="AV178" s="1475">
        <f t="shared" si="121"/>
        <v>0</v>
      </c>
      <c r="AW178" s="1475">
        <f t="shared" si="122"/>
        <v>0</v>
      </c>
      <c r="AX178" s="1475">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1763"/>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1764"/>
      <c r="AV179" s="1475">
        <f t="shared" si="121"/>
        <v>0</v>
      </c>
      <c r="AW179" s="1475">
        <f t="shared" si="122"/>
        <v>0</v>
      </c>
      <c r="AX179" s="1475">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1763"/>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1764"/>
      <c r="AV180" s="1475">
        <f t="shared" si="121"/>
        <v>0</v>
      </c>
      <c r="AW180" s="1475">
        <f t="shared" si="122"/>
        <v>0</v>
      </c>
      <c r="AX180" s="1475">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1763"/>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1764"/>
      <c r="AV181" s="1475">
        <f t="shared" si="121"/>
        <v>0</v>
      </c>
      <c r="AW181" s="1475">
        <f t="shared" si="122"/>
        <v>0</v>
      </c>
      <c r="AX181" s="1475">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1763"/>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1764"/>
      <c r="AV182" s="1475">
        <f t="shared" si="121"/>
        <v>0</v>
      </c>
      <c r="AW182" s="1475">
        <f t="shared" si="122"/>
        <v>0</v>
      </c>
      <c r="AX182" s="1475">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1763"/>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1764"/>
      <c r="AV183" s="1475">
        <f t="shared" si="121"/>
        <v>0</v>
      </c>
      <c r="AW183" s="1475">
        <f t="shared" si="122"/>
        <v>0</v>
      </c>
      <c r="AX183" s="1475">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1763"/>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1764"/>
      <c r="AV184" s="1475">
        <f t="shared" si="121"/>
        <v>0</v>
      </c>
      <c r="AW184" s="1475">
        <f t="shared" si="122"/>
        <v>0</v>
      </c>
      <c r="AX184" s="1475">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1763"/>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1764"/>
      <c r="AV185" s="1475">
        <f t="shared" si="121"/>
        <v>0</v>
      </c>
      <c r="AW185" s="1475">
        <f t="shared" si="122"/>
        <v>0</v>
      </c>
      <c r="AX185" s="1475">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1763"/>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1764"/>
      <c r="AV186" s="1475">
        <f t="shared" si="121"/>
        <v>0</v>
      </c>
      <c r="AW186" s="1475">
        <f t="shared" si="122"/>
        <v>0</v>
      </c>
      <c r="AX186" s="1475">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1763"/>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1764"/>
      <c r="AV187" s="1475">
        <f t="shared" si="121"/>
        <v>0</v>
      </c>
      <c r="AW187" s="1475">
        <f t="shared" si="122"/>
        <v>0</v>
      </c>
      <c r="AX187" s="1475">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1763"/>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1764"/>
      <c r="AV188" s="1475">
        <f t="shared" si="121"/>
        <v>0</v>
      </c>
      <c r="AW188" s="1475">
        <f t="shared" si="122"/>
        <v>0</v>
      </c>
      <c r="AX188" s="1475">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1763"/>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1764"/>
      <c r="AV189" s="1475">
        <f t="shared" si="121"/>
        <v>0</v>
      </c>
      <c r="AW189" s="1475">
        <f t="shared" si="122"/>
        <v>0</v>
      </c>
      <c r="AX189" s="1475">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1763"/>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1764"/>
      <c r="AV190" s="1475">
        <f t="shared" si="121"/>
        <v>0</v>
      </c>
      <c r="AW190" s="1475">
        <f t="shared" si="122"/>
        <v>0</v>
      </c>
      <c r="AX190" s="1475">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1763"/>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1764"/>
      <c r="AV191" s="1475">
        <f t="shared" si="121"/>
        <v>0</v>
      </c>
      <c r="AW191" s="1475">
        <f t="shared" si="122"/>
        <v>0</v>
      </c>
      <c r="AX191" s="1475">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1763"/>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1764"/>
      <c r="AV192" s="1475">
        <f t="shared" si="121"/>
        <v>0</v>
      </c>
      <c r="AW192" s="1475">
        <f t="shared" si="122"/>
        <v>0</v>
      </c>
      <c r="AX192" s="1475">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1763"/>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1764"/>
      <c r="AV193" s="1475">
        <f t="shared" si="121"/>
        <v>0</v>
      </c>
      <c r="AW193" s="1475">
        <f t="shared" si="122"/>
        <v>0</v>
      </c>
      <c r="AX193" s="1475">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1763"/>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1764"/>
      <c r="AV194" s="1475">
        <f t="shared" si="121"/>
        <v>0</v>
      </c>
      <c r="AW194" s="1475">
        <f t="shared" si="122"/>
        <v>0</v>
      </c>
      <c r="AX194" s="1475">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1763"/>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1764"/>
      <c r="AV195" s="1475">
        <f t="shared" si="121"/>
        <v>0</v>
      </c>
      <c r="AW195" s="1475">
        <f t="shared" si="122"/>
        <v>0</v>
      </c>
      <c r="AX195" s="1475">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1763"/>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1764"/>
      <c r="AV196" s="1475">
        <f t="shared" si="121"/>
        <v>0</v>
      </c>
      <c r="AW196" s="1475">
        <f t="shared" si="122"/>
        <v>0</v>
      </c>
      <c r="AX196" s="1475">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1763"/>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1764"/>
      <c r="AV197" s="1475">
        <f t="shared" si="121"/>
        <v>0</v>
      </c>
      <c r="AW197" s="1475">
        <f t="shared" si="122"/>
        <v>0</v>
      </c>
      <c r="AX197" s="1475">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1763"/>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1764"/>
      <c r="AV198" s="1475">
        <f t="shared" si="121"/>
        <v>0</v>
      </c>
      <c r="AW198" s="1475">
        <f t="shared" si="122"/>
        <v>0</v>
      </c>
      <c r="AX198" s="1475">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1763"/>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1764"/>
      <c r="AV199" s="1475">
        <f t="shared" si="121"/>
        <v>0</v>
      </c>
      <c r="AW199" s="1475">
        <f t="shared" si="122"/>
        <v>0</v>
      </c>
      <c r="AX199" s="1475">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1763"/>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1764"/>
      <c r="AV200" s="1475">
        <f t="shared" si="121"/>
        <v>0</v>
      </c>
      <c r="AW200" s="1475">
        <f t="shared" si="122"/>
        <v>0</v>
      </c>
      <c r="AX200" s="1475">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1763"/>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1764"/>
      <c r="AV201" s="1475">
        <f t="shared" si="121"/>
        <v>0</v>
      </c>
      <c r="AW201" s="1475">
        <f t="shared" si="122"/>
        <v>0</v>
      </c>
      <c r="AX201" s="1475">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1763"/>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1764"/>
      <c r="AV202" s="1475">
        <f t="shared" si="121"/>
        <v>0</v>
      </c>
      <c r="AW202" s="1475">
        <f t="shared" si="122"/>
        <v>0</v>
      </c>
      <c r="AX202" s="1475">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1763"/>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1764"/>
      <c r="AV203" s="1475">
        <f t="shared" si="121"/>
        <v>0</v>
      </c>
      <c r="AW203" s="1475">
        <f t="shared" si="122"/>
        <v>0</v>
      </c>
      <c r="AX203" s="1475">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1763"/>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1764"/>
      <c r="AV204" s="1475">
        <f t="shared" si="121"/>
        <v>0</v>
      </c>
      <c r="AW204" s="1475">
        <f t="shared" si="122"/>
        <v>0</v>
      </c>
      <c r="AX204" s="1475">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1763"/>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1704"/>
      <c r="AV205" s="1475">
        <f t="shared" si="121"/>
        <v>0</v>
      </c>
      <c r="AW205" s="1475">
        <f t="shared" si="122"/>
        <v>0</v>
      </c>
      <c r="AX205" s="1475">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1763"/>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1"/>
        <v>0</v>
      </c>
      <c r="AW206" s="1475">
        <f t="shared" si="122"/>
        <v>0</v>
      </c>
      <c r="AX206" s="1475">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1763"/>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1"/>
        <v>0</v>
      </c>
      <c r="AW207" s="1475">
        <f t="shared" si="122"/>
        <v>0</v>
      </c>
      <c r="AX207" s="1475">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1763"/>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8">A208</f>
        <v>0</v>
      </c>
      <c r="AW208" s="1475">
        <f t="shared" ref="AW208:AW302" si="129">B208</f>
        <v>0</v>
      </c>
      <c r="AX208" s="1475">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1763"/>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1764"/>
      <c r="AV209" s="1475">
        <f t="shared" si="128"/>
        <v>0</v>
      </c>
      <c r="AW209" s="1475">
        <f t="shared" si="129"/>
        <v>0</v>
      </c>
      <c r="AX209" s="1475">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1763"/>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1764"/>
      <c r="AV210" s="1475">
        <f t="shared" si="128"/>
        <v>0</v>
      </c>
      <c r="AW210" s="1475">
        <f t="shared" si="129"/>
        <v>0</v>
      </c>
      <c r="AX210" s="1475">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1763"/>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1764"/>
      <c r="AV211" s="1475">
        <f t="shared" si="128"/>
        <v>0</v>
      </c>
      <c r="AW211" s="1475">
        <f t="shared" si="129"/>
        <v>0</v>
      </c>
      <c r="AX211" s="1475">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1763"/>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1764"/>
      <c r="AV212" s="1475">
        <f t="shared" si="128"/>
        <v>0</v>
      </c>
      <c r="AW212" s="1475">
        <f t="shared" si="129"/>
        <v>0</v>
      </c>
      <c r="AX212" s="1475">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1763"/>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1764"/>
      <c r="AV213" s="1475">
        <f t="shared" si="128"/>
        <v>0</v>
      </c>
      <c r="AW213" s="1475">
        <f t="shared" si="129"/>
        <v>0</v>
      </c>
      <c r="AX213" s="1475">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1763"/>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1764"/>
      <c r="AV214" s="1475">
        <f t="shared" si="128"/>
        <v>0</v>
      </c>
      <c r="AW214" s="1475">
        <f t="shared" si="129"/>
        <v>0</v>
      </c>
      <c r="AX214" s="1475">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1763"/>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1764"/>
      <c r="AV215" s="1475">
        <f t="shared" si="128"/>
        <v>0</v>
      </c>
      <c r="AW215" s="1475">
        <f t="shared" si="129"/>
        <v>0</v>
      </c>
      <c r="AX215" s="1475">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1763"/>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1764"/>
      <c r="AV216" s="1475">
        <f t="shared" si="128"/>
        <v>0</v>
      </c>
      <c r="AW216" s="1475">
        <f t="shared" si="129"/>
        <v>0</v>
      </c>
      <c r="AX216" s="1475">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1763"/>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1764"/>
      <c r="AV217" s="1475">
        <f t="shared" si="128"/>
        <v>0</v>
      </c>
      <c r="AW217" s="1475">
        <f t="shared" si="129"/>
        <v>0</v>
      </c>
      <c r="AX217" s="1475">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1763"/>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1764"/>
      <c r="AV218" s="1475">
        <f t="shared" si="128"/>
        <v>0</v>
      </c>
      <c r="AW218" s="1475">
        <f t="shared" si="129"/>
        <v>0</v>
      </c>
      <c r="AX218" s="1475">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1763"/>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1764"/>
      <c r="AV219" s="1475">
        <f t="shared" si="128"/>
        <v>0</v>
      </c>
      <c r="AW219" s="1475">
        <f t="shared" si="129"/>
        <v>0</v>
      </c>
      <c r="AX219" s="1475">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1763"/>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1764"/>
      <c r="AV220" s="1475">
        <f t="shared" si="128"/>
        <v>0</v>
      </c>
      <c r="AW220" s="1475">
        <f t="shared" si="129"/>
        <v>0</v>
      </c>
      <c r="AX220" s="1475">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1763"/>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1764"/>
      <c r="AV221" s="1475">
        <f t="shared" si="128"/>
        <v>0</v>
      </c>
      <c r="AW221" s="1475">
        <f t="shared" si="129"/>
        <v>0</v>
      </c>
      <c r="AX221" s="1475">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1763"/>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1764"/>
      <c r="AV222" s="1475">
        <f t="shared" si="128"/>
        <v>0</v>
      </c>
      <c r="AW222" s="1475">
        <f t="shared" si="129"/>
        <v>0</v>
      </c>
      <c r="AX222" s="1475">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1763"/>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1764"/>
      <c r="AV223" s="1475">
        <f t="shared" si="128"/>
        <v>0</v>
      </c>
      <c r="AW223" s="1475">
        <f t="shared" si="129"/>
        <v>0</v>
      </c>
      <c r="AX223" s="1475">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1763"/>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1764"/>
      <c r="AV224" s="1475">
        <f t="shared" si="128"/>
        <v>0</v>
      </c>
      <c r="AW224" s="1475">
        <f t="shared" si="129"/>
        <v>0</v>
      </c>
      <c r="AX224" s="1475">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1763"/>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1764"/>
      <c r="AV225" s="1475">
        <f t="shared" si="128"/>
        <v>0</v>
      </c>
      <c r="AW225" s="1475">
        <f t="shared" si="129"/>
        <v>0</v>
      </c>
      <c r="AX225" s="1475">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1763"/>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1764"/>
      <c r="AV226" s="1475">
        <f t="shared" si="128"/>
        <v>0</v>
      </c>
      <c r="AW226" s="1475">
        <f t="shared" si="129"/>
        <v>0</v>
      </c>
      <c r="AX226" s="1475">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1763"/>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1764"/>
      <c r="AV227" s="1475">
        <f t="shared" si="128"/>
        <v>0</v>
      </c>
      <c r="AW227" s="1475">
        <f t="shared" si="129"/>
        <v>0</v>
      </c>
      <c r="AX227" s="1475">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1763"/>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1764"/>
      <c r="AV228" s="1475">
        <f t="shared" si="128"/>
        <v>0</v>
      </c>
      <c r="AW228" s="1475">
        <f t="shared" si="129"/>
        <v>0</v>
      </c>
      <c r="AX228" s="1475">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1763"/>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1764"/>
      <c r="AV229" s="1475">
        <f t="shared" si="128"/>
        <v>0</v>
      </c>
      <c r="AW229" s="1475">
        <f t="shared" si="129"/>
        <v>0</v>
      </c>
      <c r="AX229" s="1475">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1763"/>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1764"/>
      <c r="AV230" s="1475">
        <f t="shared" si="128"/>
        <v>0</v>
      </c>
      <c r="AW230" s="1475">
        <f t="shared" si="129"/>
        <v>0</v>
      </c>
      <c r="AX230" s="1475">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1763"/>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1764"/>
      <c r="AV231" s="1475">
        <f t="shared" si="128"/>
        <v>0</v>
      </c>
      <c r="AW231" s="1475">
        <f t="shared" si="129"/>
        <v>0</v>
      </c>
      <c r="AX231" s="1475">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1763"/>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1764"/>
      <c r="AV232" s="1475">
        <f t="shared" si="128"/>
        <v>0</v>
      </c>
      <c r="AW232" s="1475">
        <f t="shared" si="129"/>
        <v>0</v>
      </c>
      <c r="AX232" s="1475">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1763"/>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1764"/>
      <c r="AV233" s="1475">
        <f t="shared" si="128"/>
        <v>0</v>
      </c>
      <c r="AW233" s="1475">
        <f t="shared" si="129"/>
        <v>0</v>
      </c>
      <c r="AX233" s="1475">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1763"/>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1764"/>
      <c r="AV234" s="1475">
        <f t="shared" si="128"/>
        <v>0</v>
      </c>
      <c r="AW234" s="1475">
        <f t="shared" si="129"/>
        <v>0</v>
      </c>
      <c r="AX234" s="1475">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1763"/>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1764"/>
      <c r="AV235" s="1475">
        <f t="shared" si="128"/>
        <v>0</v>
      </c>
      <c r="AW235" s="1475">
        <f t="shared" si="129"/>
        <v>0</v>
      </c>
      <c r="AX235" s="1475">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1763"/>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1764"/>
      <c r="AV236" s="1475">
        <f t="shared" si="128"/>
        <v>0</v>
      </c>
      <c r="AW236" s="1475">
        <f t="shared" si="129"/>
        <v>0</v>
      </c>
      <c r="AX236" s="1475">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1763"/>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1764"/>
      <c r="AV237" s="1475">
        <f t="shared" si="128"/>
        <v>0</v>
      </c>
      <c r="AW237" s="1475">
        <f t="shared" si="129"/>
        <v>0</v>
      </c>
      <c r="AX237" s="1475">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1763"/>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1764"/>
      <c r="AV238" s="1475">
        <f t="shared" si="128"/>
        <v>0</v>
      </c>
      <c r="AW238" s="1475">
        <f t="shared" si="129"/>
        <v>0</v>
      </c>
      <c r="AX238" s="1475">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1763"/>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1764"/>
      <c r="AV239" s="1475">
        <f t="shared" si="128"/>
        <v>0</v>
      </c>
      <c r="AW239" s="1475">
        <f t="shared" si="129"/>
        <v>0</v>
      </c>
      <c r="AX239" s="1475">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1763"/>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1764"/>
      <c r="AV240" s="1475">
        <f t="shared" si="128"/>
        <v>0</v>
      </c>
      <c r="AW240" s="1475">
        <f t="shared" si="129"/>
        <v>0</v>
      </c>
      <c r="AX240" s="1475">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1763"/>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1764"/>
      <c r="AV241" s="1475">
        <f t="shared" si="128"/>
        <v>0</v>
      </c>
      <c r="AW241" s="1475">
        <f t="shared" si="129"/>
        <v>0</v>
      </c>
      <c r="AX241" s="1475">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1763"/>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1764"/>
      <c r="AV242" s="1475">
        <f t="shared" si="128"/>
        <v>0</v>
      </c>
      <c r="AW242" s="1475">
        <f t="shared" si="129"/>
        <v>0</v>
      </c>
      <c r="AX242" s="1475">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1763"/>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1764"/>
      <c r="AV243" s="1475">
        <f t="shared" si="128"/>
        <v>0</v>
      </c>
      <c r="AW243" s="1475">
        <f t="shared" si="129"/>
        <v>0</v>
      </c>
      <c r="AX243" s="1475">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1763"/>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1764"/>
      <c r="AV244" s="1475">
        <f t="shared" si="128"/>
        <v>0</v>
      </c>
      <c r="AW244" s="1475">
        <f t="shared" si="129"/>
        <v>0</v>
      </c>
      <c r="AX244" s="1475">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1763"/>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1764"/>
      <c r="AV245" s="1475">
        <f t="shared" si="128"/>
        <v>0</v>
      </c>
      <c r="AW245" s="1475">
        <f t="shared" si="129"/>
        <v>0</v>
      </c>
      <c r="AX245" s="1475">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1763"/>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1764"/>
      <c r="AV246" s="1475">
        <f t="shared" si="128"/>
        <v>0</v>
      </c>
      <c r="AW246" s="1475">
        <f t="shared" si="129"/>
        <v>0</v>
      </c>
      <c r="AX246" s="1475">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1763"/>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1764"/>
      <c r="AV247" s="1475">
        <f t="shared" si="128"/>
        <v>0</v>
      </c>
      <c r="AW247" s="1475">
        <f t="shared" si="129"/>
        <v>0</v>
      </c>
      <c r="AX247" s="1475">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1763"/>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1764"/>
      <c r="AV248" s="1475">
        <f t="shared" si="128"/>
        <v>0</v>
      </c>
      <c r="AW248" s="1475">
        <f t="shared" si="129"/>
        <v>0</v>
      </c>
      <c r="AX248" s="1475">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1763"/>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1764"/>
      <c r="AV249" s="1475">
        <f t="shared" si="128"/>
        <v>0</v>
      </c>
      <c r="AW249" s="1475">
        <f t="shared" si="129"/>
        <v>0</v>
      </c>
      <c r="AX249" s="1475">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1763"/>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1764"/>
      <c r="AV250" s="1475">
        <f t="shared" si="128"/>
        <v>0</v>
      </c>
      <c r="AW250" s="1475">
        <f t="shared" si="129"/>
        <v>0</v>
      </c>
      <c r="AX250" s="1475">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1763"/>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1764"/>
      <c r="AV251" s="1475">
        <f t="shared" si="128"/>
        <v>0</v>
      </c>
      <c r="AW251" s="1475">
        <f t="shared" si="129"/>
        <v>0</v>
      </c>
      <c r="AX251" s="1475">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1763"/>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1764"/>
      <c r="AV252" s="1475">
        <f t="shared" si="128"/>
        <v>0</v>
      </c>
      <c r="AW252" s="1475">
        <f t="shared" si="129"/>
        <v>0</v>
      </c>
      <c r="AX252" s="1475">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1763"/>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1764"/>
      <c r="AV253" s="1475">
        <f t="shared" si="128"/>
        <v>0</v>
      </c>
      <c r="AW253" s="1475">
        <f t="shared" si="129"/>
        <v>0</v>
      </c>
      <c r="AX253" s="1475">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1763"/>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1764"/>
      <c r="AV254" s="1475">
        <f t="shared" si="128"/>
        <v>0</v>
      </c>
      <c r="AW254" s="1475">
        <f t="shared" si="129"/>
        <v>0</v>
      </c>
      <c r="AX254" s="1475">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1763"/>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1764"/>
      <c r="AV255" s="1475">
        <f t="shared" si="128"/>
        <v>0</v>
      </c>
      <c r="AW255" s="1475">
        <f t="shared" si="129"/>
        <v>0</v>
      </c>
      <c r="AX255" s="1475">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1763"/>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1764"/>
      <c r="AV256" s="1475">
        <f t="shared" si="128"/>
        <v>0</v>
      </c>
      <c r="AW256" s="1475">
        <f t="shared" si="129"/>
        <v>0</v>
      </c>
      <c r="AX256" s="1475">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1763"/>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1764"/>
      <c r="AV257" s="1475">
        <f t="shared" si="128"/>
        <v>0</v>
      </c>
      <c r="AW257" s="1475">
        <f t="shared" si="129"/>
        <v>0</v>
      </c>
      <c r="AX257" s="1475">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1763"/>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1764"/>
      <c r="AV258" s="1475">
        <f t="shared" si="128"/>
        <v>0</v>
      </c>
      <c r="AW258" s="1475">
        <f t="shared" si="129"/>
        <v>0</v>
      </c>
      <c r="AX258" s="1475">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1763"/>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1764"/>
      <c r="AV259" s="1475">
        <f t="shared" si="128"/>
        <v>0</v>
      </c>
      <c r="AW259" s="1475">
        <f t="shared" si="129"/>
        <v>0</v>
      </c>
      <c r="AX259" s="1475">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1763"/>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1764"/>
      <c r="AV260" s="1475">
        <f t="shared" si="128"/>
        <v>0</v>
      </c>
      <c r="AW260" s="1475">
        <f t="shared" si="129"/>
        <v>0</v>
      </c>
      <c r="AX260" s="1475">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1763"/>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1764"/>
      <c r="AV261" s="1475">
        <f t="shared" si="128"/>
        <v>0</v>
      </c>
      <c r="AW261" s="1475">
        <f t="shared" si="129"/>
        <v>0</v>
      </c>
      <c r="AX261" s="1475">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1763"/>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1764"/>
      <c r="AV262" s="1475">
        <f t="shared" si="128"/>
        <v>0</v>
      </c>
      <c r="AW262" s="1475">
        <f t="shared" si="129"/>
        <v>0</v>
      </c>
      <c r="AX262" s="1475">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1763"/>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1764"/>
      <c r="AV263" s="1475">
        <f t="shared" si="128"/>
        <v>0</v>
      </c>
      <c r="AW263" s="1475">
        <f t="shared" si="129"/>
        <v>0</v>
      </c>
      <c r="AX263" s="1475">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1763"/>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1764"/>
      <c r="AV264" s="1475">
        <f t="shared" si="128"/>
        <v>0</v>
      </c>
      <c r="AW264" s="1475">
        <f t="shared" si="129"/>
        <v>0</v>
      </c>
      <c r="AX264" s="1475">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1763"/>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1764"/>
      <c r="AV265" s="1475">
        <f t="shared" si="128"/>
        <v>0</v>
      </c>
      <c r="AW265" s="1475">
        <f t="shared" si="129"/>
        <v>0</v>
      </c>
      <c r="AX265" s="1475">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1763"/>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1764"/>
      <c r="AV266" s="1475">
        <f t="shared" si="128"/>
        <v>0</v>
      </c>
      <c r="AW266" s="1475">
        <f t="shared" si="129"/>
        <v>0</v>
      </c>
      <c r="AX266" s="1475">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1763"/>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1764"/>
      <c r="AV267" s="1475">
        <f t="shared" si="128"/>
        <v>0</v>
      </c>
      <c r="AW267" s="1475">
        <f t="shared" si="129"/>
        <v>0</v>
      </c>
      <c r="AX267" s="1475">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1763"/>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1764"/>
      <c r="AV268" s="1475">
        <f t="shared" si="128"/>
        <v>0</v>
      </c>
      <c r="AW268" s="1475">
        <f t="shared" si="129"/>
        <v>0</v>
      </c>
      <c r="AX268" s="1475">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1763"/>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1764"/>
      <c r="AV269" s="1475">
        <f t="shared" si="128"/>
        <v>0</v>
      </c>
      <c r="AW269" s="1475">
        <f t="shared" si="129"/>
        <v>0</v>
      </c>
      <c r="AX269" s="1475">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1763"/>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1764"/>
      <c r="AV270" s="1475">
        <f t="shared" si="128"/>
        <v>0</v>
      </c>
      <c r="AW270" s="1475">
        <f t="shared" si="129"/>
        <v>0</v>
      </c>
      <c r="AX270" s="1475">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1763"/>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1764"/>
      <c r="AV271" s="1475">
        <f t="shared" si="128"/>
        <v>0</v>
      </c>
      <c r="AW271" s="1475">
        <f t="shared" si="129"/>
        <v>0</v>
      </c>
      <c r="AX271" s="1475">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1763"/>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1764"/>
      <c r="AV272" s="1475">
        <f t="shared" si="128"/>
        <v>0</v>
      </c>
      <c r="AW272" s="1475">
        <f t="shared" si="129"/>
        <v>0</v>
      </c>
      <c r="AX272" s="1475">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1763"/>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1764"/>
      <c r="AV273" s="1475">
        <f t="shared" si="128"/>
        <v>0</v>
      </c>
      <c r="AW273" s="1475">
        <f t="shared" si="129"/>
        <v>0</v>
      </c>
      <c r="AX273" s="1475">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1763"/>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1764"/>
      <c r="AV274" s="1475">
        <f t="shared" si="128"/>
        <v>0</v>
      </c>
      <c r="AW274" s="1475">
        <f t="shared" si="129"/>
        <v>0</v>
      </c>
      <c r="AX274" s="1475">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1763"/>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1764"/>
      <c r="AV275" s="1475">
        <f t="shared" si="128"/>
        <v>0</v>
      </c>
      <c r="AW275" s="1475">
        <f t="shared" si="129"/>
        <v>0</v>
      </c>
      <c r="AX275" s="1475">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1763"/>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1764"/>
      <c r="AV276" s="1475">
        <f t="shared" si="128"/>
        <v>0</v>
      </c>
      <c r="AW276" s="1475">
        <f t="shared" si="129"/>
        <v>0</v>
      </c>
      <c r="AX276" s="1475">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1763"/>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1764"/>
      <c r="AV277" s="1475">
        <f t="shared" si="128"/>
        <v>0</v>
      </c>
      <c r="AW277" s="1475">
        <f t="shared" si="129"/>
        <v>0</v>
      </c>
      <c r="AX277" s="1475">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1763"/>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1764"/>
      <c r="AV278" s="1475">
        <f t="shared" si="128"/>
        <v>0</v>
      </c>
      <c r="AW278" s="1475">
        <f t="shared" si="129"/>
        <v>0</v>
      </c>
      <c r="AX278" s="1475">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1763"/>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1764"/>
      <c r="AV279" s="1475">
        <f t="shared" si="128"/>
        <v>0</v>
      </c>
      <c r="AW279" s="1475">
        <f t="shared" si="129"/>
        <v>0</v>
      </c>
      <c r="AX279" s="1475">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1763"/>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1764"/>
      <c r="AV280" s="1475">
        <f t="shared" si="128"/>
        <v>0</v>
      </c>
      <c r="AW280" s="1475">
        <f t="shared" si="129"/>
        <v>0</v>
      </c>
      <c r="AX280" s="1475">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1763"/>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1764"/>
      <c r="AV281" s="1475">
        <f t="shared" si="128"/>
        <v>0</v>
      </c>
      <c r="AW281" s="1475">
        <f t="shared" si="129"/>
        <v>0</v>
      </c>
      <c r="AX281" s="1475">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1763"/>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1764"/>
      <c r="AV282" s="1475">
        <f t="shared" si="128"/>
        <v>0</v>
      </c>
      <c r="AW282" s="1475">
        <f t="shared" si="129"/>
        <v>0</v>
      </c>
      <c r="AX282" s="1475">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1763"/>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1764"/>
      <c r="AV283" s="1475">
        <f t="shared" si="128"/>
        <v>0</v>
      </c>
      <c r="AW283" s="1475">
        <f t="shared" si="129"/>
        <v>0</v>
      </c>
      <c r="AX283" s="1475">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1763"/>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1764"/>
      <c r="AV284" s="1475">
        <f t="shared" si="128"/>
        <v>0</v>
      </c>
      <c r="AW284" s="1475">
        <f t="shared" si="129"/>
        <v>0</v>
      </c>
      <c r="AX284" s="1475">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1763"/>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1764"/>
      <c r="AV285" s="1475">
        <f t="shared" si="128"/>
        <v>0</v>
      </c>
      <c r="AW285" s="1475">
        <f t="shared" si="129"/>
        <v>0</v>
      </c>
      <c r="AX285" s="1475">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1763"/>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1764"/>
      <c r="AV286" s="1475">
        <f t="shared" si="128"/>
        <v>0</v>
      </c>
      <c r="AW286" s="1475">
        <f t="shared" si="129"/>
        <v>0</v>
      </c>
      <c r="AX286" s="1475">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1763"/>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1764"/>
      <c r="AV287" s="1475">
        <f t="shared" si="128"/>
        <v>0</v>
      </c>
      <c r="AW287" s="1475">
        <f t="shared" si="129"/>
        <v>0</v>
      </c>
      <c r="AX287" s="1475">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1763"/>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1764"/>
      <c r="AV288" s="1475">
        <f t="shared" si="128"/>
        <v>0</v>
      </c>
      <c r="AW288" s="1475">
        <f t="shared" si="129"/>
        <v>0</v>
      </c>
      <c r="AX288" s="1475">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1763"/>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1764"/>
      <c r="AV289" s="1475">
        <f t="shared" si="128"/>
        <v>0</v>
      </c>
      <c r="AW289" s="1475">
        <f t="shared" si="129"/>
        <v>0</v>
      </c>
      <c r="AX289" s="1475">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1763"/>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1764"/>
      <c r="AV290" s="1475">
        <f t="shared" si="128"/>
        <v>0</v>
      </c>
      <c r="AW290" s="1475">
        <f t="shared" si="129"/>
        <v>0</v>
      </c>
      <c r="AX290" s="1475">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1763"/>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1764"/>
      <c r="AV291" s="1475">
        <f t="shared" si="128"/>
        <v>0</v>
      </c>
      <c r="AW291" s="1475">
        <f t="shared" si="129"/>
        <v>0</v>
      </c>
      <c r="AX291" s="1475">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1763"/>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1764"/>
      <c r="AV292" s="1475">
        <f t="shared" si="128"/>
        <v>0</v>
      </c>
      <c r="AW292" s="1475">
        <f t="shared" si="129"/>
        <v>0</v>
      </c>
      <c r="AX292" s="1475">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1763"/>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1764"/>
      <c r="AV293" s="1475">
        <f t="shared" si="128"/>
        <v>0</v>
      </c>
      <c r="AW293" s="1475">
        <f t="shared" si="129"/>
        <v>0</v>
      </c>
      <c r="AX293" s="1475">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1763"/>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1764"/>
      <c r="AV294" s="1475">
        <f t="shared" si="128"/>
        <v>0</v>
      </c>
      <c r="AW294" s="1475">
        <f t="shared" si="129"/>
        <v>0</v>
      </c>
      <c r="AX294" s="1475">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1763"/>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1764"/>
      <c r="AV295" s="1475">
        <f t="shared" si="128"/>
        <v>0</v>
      </c>
      <c r="AW295" s="1475">
        <f t="shared" si="129"/>
        <v>0</v>
      </c>
      <c r="AX295" s="1475">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1763"/>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1764"/>
      <c r="AV296" s="1475">
        <f t="shared" si="128"/>
        <v>0</v>
      </c>
      <c r="AW296" s="1475">
        <f t="shared" si="129"/>
        <v>0</v>
      </c>
      <c r="AX296" s="1475">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1763"/>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1764"/>
      <c r="AV297" s="1475">
        <f t="shared" si="128"/>
        <v>0</v>
      </c>
      <c r="AW297" s="1475">
        <f t="shared" si="129"/>
        <v>0</v>
      </c>
      <c r="AX297" s="1475">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1763"/>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1764"/>
      <c r="AV298" s="1475">
        <f t="shared" si="128"/>
        <v>0</v>
      </c>
      <c r="AW298" s="1475">
        <f t="shared" si="129"/>
        <v>0</v>
      </c>
      <c r="AX298" s="1475">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1763"/>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1764"/>
      <c r="AV299" s="1475">
        <f t="shared" si="128"/>
        <v>0</v>
      </c>
      <c r="AW299" s="1475">
        <f t="shared" si="129"/>
        <v>0</v>
      </c>
      <c r="AX299" s="1475">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1763"/>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8"/>
        <v>0</v>
      </c>
      <c r="AW300" s="1475">
        <f t="shared" si="129"/>
        <v>0</v>
      </c>
      <c r="AX300" s="1475">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1763"/>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1704"/>
      <c r="AV301" s="1475">
        <f t="shared" si="128"/>
        <v>0</v>
      </c>
      <c r="AW301" s="1475">
        <f t="shared" si="129"/>
        <v>0</v>
      </c>
      <c r="AX301" s="1475">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1763"/>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1704"/>
      <c r="AV302" s="1475">
        <f t="shared" si="128"/>
        <v>0</v>
      </c>
      <c r="AW302" s="1475">
        <f t="shared" si="129"/>
        <v>0</v>
      </c>
      <c r="AX302" s="1475">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1763"/>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9">A303</f>
        <v>0</v>
      </c>
      <c r="AW303" s="1475">
        <f t="shared" ref="AW303:AW334" si="180">B303</f>
        <v>0</v>
      </c>
      <c r="AX303" s="1475">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1763"/>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1764"/>
      <c r="AV304" s="1475">
        <f t="shared" si="179"/>
        <v>0</v>
      </c>
      <c r="AW304" s="1475">
        <f t="shared" si="180"/>
        <v>0</v>
      </c>
      <c r="AX304" s="1475">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1763"/>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1764"/>
      <c r="AV305" s="1475">
        <f t="shared" si="179"/>
        <v>0</v>
      </c>
      <c r="AW305" s="1475">
        <f t="shared" si="180"/>
        <v>0</v>
      </c>
      <c r="AX305" s="1475">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1763"/>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1764"/>
      <c r="AV306" s="1475">
        <f t="shared" si="179"/>
        <v>0</v>
      </c>
      <c r="AW306" s="1475">
        <f t="shared" si="180"/>
        <v>0</v>
      </c>
      <c r="AX306" s="1475">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1763"/>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1764"/>
      <c r="AV307" s="1475">
        <f t="shared" si="179"/>
        <v>0</v>
      </c>
      <c r="AW307" s="1475">
        <f t="shared" si="180"/>
        <v>0</v>
      </c>
      <c r="AX307" s="1475">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1763"/>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1764"/>
      <c r="AV308" s="1475">
        <f t="shared" si="179"/>
        <v>0</v>
      </c>
      <c r="AW308" s="1475">
        <f t="shared" si="180"/>
        <v>0</v>
      </c>
      <c r="AX308" s="1475">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1763"/>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1764"/>
      <c r="AV309" s="1475">
        <f t="shared" si="179"/>
        <v>0</v>
      </c>
      <c r="AW309" s="1475">
        <f t="shared" si="180"/>
        <v>0</v>
      </c>
      <c r="AX309" s="1475">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1763"/>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1764"/>
      <c r="AV310" s="1475">
        <f t="shared" si="179"/>
        <v>0</v>
      </c>
      <c r="AW310" s="1475">
        <f t="shared" si="180"/>
        <v>0</v>
      </c>
      <c r="AX310" s="1475">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1763"/>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1764"/>
      <c r="AV311" s="1475">
        <f t="shared" si="179"/>
        <v>0</v>
      </c>
      <c r="AW311" s="1475">
        <f t="shared" si="180"/>
        <v>0</v>
      </c>
      <c r="AX311" s="1475">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1763"/>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1764"/>
      <c r="AV312" s="1475">
        <f t="shared" si="179"/>
        <v>0</v>
      </c>
      <c r="AW312" s="1475">
        <f t="shared" si="180"/>
        <v>0</v>
      </c>
      <c r="AX312" s="1475">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1763"/>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1764"/>
      <c r="AV313" s="1475">
        <f t="shared" si="179"/>
        <v>0</v>
      </c>
      <c r="AW313" s="1475">
        <f t="shared" si="180"/>
        <v>0</v>
      </c>
      <c r="AX313" s="1475">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1763"/>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1764"/>
      <c r="AV314" s="1475">
        <f t="shared" si="179"/>
        <v>0</v>
      </c>
      <c r="AW314" s="1475">
        <f t="shared" si="180"/>
        <v>0</v>
      </c>
      <c r="AX314" s="1475">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1763"/>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1764"/>
      <c r="AV315" s="1475">
        <f t="shared" si="179"/>
        <v>0</v>
      </c>
      <c r="AW315" s="1475">
        <f t="shared" si="180"/>
        <v>0</v>
      </c>
      <c r="AX315" s="1475">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1763"/>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1764"/>
      <c r="AV316" s="1475">
        <f t="shared" si="179"/>
        <v>0</v>
      </c>
      <c r="AW316" s="1475">
        <f t="shared" si="180"/>
        <v>0</v>
      </c>
      <c r="AX316" s="1475">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1763"/>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1764"/>
      <c r="AV317" s="1475">
        <f t="shared" si="179"/>
        <v>0</v>
      </c>
      <c r="AW317" s="1475">
        <f t="shared" si="180"/>
        <v>0</v>
      </c>
      <c r="AX317" s="1475">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1763"/>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1764"/>
      <c r="AV318" s="1475">
        <f t="shared" si="179"/>
        <v>0</v>
      </c>
      <c r="AW318" s="1475">
        <f t="shared" si="180"/>
        <v>0</v>
      </c>
      <c r="AX318" s="1475">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1763"/>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1764"/>
      <c r="AV319" s="1475">
        <f t="shared" si="179"/>
        <v>0</v>
      </c>
      <c r="AW319" s="1475">
        <f t="shared" si="180"/>
        <v>0</v>
      </c>
      <c r="AX319" s="1475">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1763"/>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1764"/>
      <c r="AV320" s="1475">
        <f t="shared" si="179"/>
        <v>0</v>
      </c>
      <c r="AW320" s="1475">
        <f t="shared" si="180"/>
        <v>0</v>
      </c>
      <c r="AX320" s="1475">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1763"/>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1764"/>
      <c r="AV321" s="1475">
        <f t="shared" si="179"/>
        <v>0</v>
      </c>
      <c r="AW321" s="1475">
        <f t="shared" si="180"/>
        <v>0</v>
      </c>
      <c r="AX321" s="1475">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1763"/>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1764"/>
      <c r="AV322" s="1475">
        <f t="shared" si="179"/>
        <v>0</v>
      </c>
      <c r="AW322" s="1475">
        <f t="shared" si="180"/>
        <v>0</v>
      </c>
      <c r="AX322" s="1475">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1763"/>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1764"/>
      <c r="AV323" s="1475">
        <f t="shared" si="179"/>
        <v>0</v>
      </c>
      <c r="AW323" s="1475">
        <f t="shared" si="180"/>
        <v>0</v>
      </c>
      <c r="AX323" s="1475">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1763"/>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1764"/>
      <c r="AV324" s="1475">
        <f t="shared" si="179"/>
        <v>0</v>
      </c>
      <c r="AW324" s="1475">
        <f t="shared" si="180"/>
        <v>0</v>
      </c>
      <c r="AX324" s="1475">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1763"/>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1764"/>
      <c r="AV325" s="1475">
        <f t="shared" si="179"/>
        <v>0</v>
      </c>
      <c r="AW325" s="1475">
        <f t="shared" si="180"/>
        <v>0</v>
      </c>
      <c r="AX325" s="1475">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1763"/>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1764"/>
      <c r="AV326" s="1475">
        <f t="shared" si="179"/>
        <v>0</v>
      </c>
      <c r="AW326" s="1475">
        <f t="shared" si="180"/>
        <v>0</v>
      </c>
      <c r="AX326" s="1475">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1763"/>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1764"/>
      <c r="AV327" s="1475">
        <f t="shared" si="179"/>
        <v>0</v>
      </c>
      <c r="AW327" s="1475">
        <f t="shared" si="180"/>
        <v>0</v>
      </c>
      <c r="AX327" s="1475">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1763"/>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1764"/>
      <c r="AV328" s="1475">
        <f t="shared" si="179"/>
        <v>0</v>
      </c>
      <c r="AW328" s="1475">
        <f t="shared" si="180"/>
        <v>0</v>
      </c>
      <c r="AX328" s="1475">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1763"/>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1764"/>
      <c r="AV329" s="1475">
        <f t="shared" si="179"/>
        <v>0</v>
      </c>
      <c r="AW329" s="1475">
        <f t="shared" si="180"/>
        <v>0</v>
      </c>
      <c r="AX329" s="1475">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1763"/>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1764"/>
      <c r="AV330" s="1475">
        <f t="shared" si="179"/>
        <v>0</v>
      </c>
      <c r="AW330" s="1475">
        <f t="shared" si="180"/>
        <v>0</v>
      </c>
      <c r="AX330" s="1475">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1763"/>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1764"/>
      <c r="AV331" s="1475">
        <f t="shared" si="179"/>
        <v>0</v>
      </c>
      <c r="AW331" s="1475">
        <f t="shared" si="180"/>
        <v>0</v>
      </c>
      <c r="AX331" s="1475">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1763"/>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9"/>
        <v>0</v>
      </c>
      <c r="AW332" s="1475">
        <f t="shared" si="180"/>
        <v>0</v>
      </c>
      <c r="AX332" s="1475">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1763"/>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1764"/>
      <c r="AV333" s="1475">
        <f t="shared" si="179"/>
        <v>0</v>
      </c>
      <c r="AW333" s="1475">
        <f t="shared" si="180"/>
        <v>0</v>
      </c>
      <c r="AX333" s="1475">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1763"/>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1764"/>
      <c r="AV334" s="1475">
        <f t="shared" si="179"/>
        <v>0</v>
      </c>
      <c r="AW334" s="1475">
        <f t="shared" si="180"/>
        <v>0</v>
      </c>
      <c r="AX334" s="1475">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1763"/>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8">A335</f>
        <v>0</v>
      </c>
      <c r="AW335" s="1475">
        <f t="shared" ref="AW335:AW366" si="209">B335</f>
        <v>0</v>
      </c>
      <c r="AX335" s="1475">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1763"/>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1764"/>
      <c r="AV336" s="1475">
        <f t="shared" si="208"/>
        <v>0</v>
      </c>
      <c r="AW336" s="1475">
        <f t="shared" si="209"/>
        <v>0</v>
      </c>
      <c r="AX336" s="1475">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1763"/>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1764"/>
      <c r="AV337" s="1475">
        <f t="shared" si="208"/>
        <v>0</v>
      </c>
      <c r="AW337" s="1475">
        <f t="shared" si="209"/>
        <v>0</v>
      </c>
      <c r="AX337" s="1475">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1763"/>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1764"/>
      <c r="AV338" s="1475">
        <f t="shared" si="208"/>
        <v>0</v>
      </c>
      <c r="AW338" s="1475">
        <f t="shared" si="209"/>
        <v>0</v>
      </c>
      <c r="AX338" s="1475">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1763"/>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1764"/>
      <c r="AV339" s="1475">
        <f t="shared" si="208"/>
        <v>0</v>
      </c>
      <c r="AW339" s="1475">
        <f t="shared" si="209"/>
        <v>0</v>
      </c>
      <c r="AX339" s="1475">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1763"/>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1764"/>
      <c r="AV340" s="1475">
        <f t="shared" si="208"/>
        <v>0</v>
      </c>
      <c r="AW340" s="1475">
        <f t="shared" si="209"/>
        <v>0</v>
      </c>
      <c r="AX340" s="1475">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1763"/>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1764"/>
      <c r="AV341" s="1475">
        <f t="shared" si="208"/>
        <v>0</v>
      </c>
      <c r="AW341" s="1475">
        <f t="shared" si="209"/>
        <v>0</v>
      </c>
      <c r="AX341" s="1475">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1763"/>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1764"/>
      <c r="AV342" s="1475">
        <f t="shared" si="208"/>
        <v>0</v>
      </c>
      <c r="AW342" s="1475">
        <f t="shared" si="209"/>
        <v>0</v>
      </c>
      <c r="AX342" s="1475">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1763"/>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1764"/>
      <c r="AV343" s="1475">
        <f t="shared" si="208"/>
        <v>0</v>
      </c>
      <c r="AW343" s="1475">
        <f t="shared" si="209"/>
        <v>0</v>
      </c>
      <c r="AX343" s="1475">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1763"/>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1764"/>
      <c r="AV344" s="1475">
        <f t="shared" si="208"/>
        <v>0</v>
      </c>
      <c r="AW344" s="1475">
        <f t="shared" si="209"/>
        <v>0</v>
      </c>
      <c r="AX344" s="1475">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1763"/>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1764"/>
      <c r="AV345" s="1475">
        <f t="shared" si="208"/>
        <v>0</v>
      </c>
      <c r="AW345" s="1475">
        <f t="shared" si="209"/>
        <v>0</v>
      </c>
      <c r="AX345" s="1475">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1763"/>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1764"/>
      <c r="AV346" s="1475">
        <f t="shared" si="208"/>
        <v>0</v>
      </c>
      <c r="AW346" s="1475">
        <f t="shared" si="209"/>
        <v>0</v>
      </c>
      <c r="AX346" s="1475">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1763"/>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1764"/>
      <c r="AV347" s="1475">
        <f t="shared" si="208"/>
        <v>0</v>
      </c>
      <c r="AW347" s="1475">
        <f t="shared" si="209"/>
        <v>0</v>
      </c>
      <c r="AX347" s="1475">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1763"/>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1764"/>
      <c r="AV348" s="1475">
        <f t="shared" si="208"/>
        <v>0</v>
      </c>
      <c r="AW348" s="1475">
        <f t="shared" si="209"/>
        <v>0</v>
      </c>
      <c r="AX348" s="1475">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1763"/>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1764"/>
      <c r="AV349" s="1475">
        <f t="shared" si="208"/>
        <v>0</v>
      </c>
      <c r="AW349" s="1475">
        <f t="shared" si="209"/>
        <v>0</v>
      </c>
      <c r="AX349" s="1475">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1763"/>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1764"/>
      <c r="AV350" s="1475">
        <f t="shared" si="208"/>
        <v>0</v>
      </c>
      <c r="AW350" s="1475">
        <f t="shared" si="209"/>
        <v>0</v>
      </c>
      <c r="AX350" s="1475">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1763"/>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1764"/>
      <c r="AV351" s="1475">
        <f t="shared" si="208"/>
        <v>0</v>
      </c>
      <c r="AW351" s="1475">
        <f t="shared" si="209"/>
        <v>0</v>
      </c>
      <c r="AX351" s="1475">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1763"/>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1764"/>
      <c r="AV352" s="1475">
        <f t="shared" si="208"/>
        <v>0</v>
      </c>
      <c r="AW352" s="1475">
        <f t="shared" si="209"/>
        <v>0</v>
      </c>
      <c r="AX352" s="1475">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1763"/>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1764"/>
      <c r="AV353" s="1475">
        <f t="shared" si="208"/>
        <v>0</v>
      </c>
      <c r="AW353" s="1475">
        <f t="shared" si="209"/>
        <v>0</v>
      </c>
      <c r="AX353" s="1475">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1763"/>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1764"/>
      <c r="AV354" s="1475">
        <f t="shared" si="208"/>
        <v>0</v>
      </c>
      <c r="AW354" s="1475">
        <f t="shared" si="209"/>
        <v>0</v>
      </c>
      <c r="AX354" s="1475">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1763"/>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1764"/>
      <c r="AV355" s="1475">
        <f t="shared" si="208"/>
        <v>0</v>
      </c>
      <c r="AW355" s="1475">
        <f t="shared" si="209"/>
        <v>0</v>
      </c>
      <c r="AX355" s="1475">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1763"/>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1764"/>
      <c r="AV356" s="1475">
        <f t="shared" si="208"/>
        <v>0</v>
      </c>
      <c r="AW356" s="1475">
        <f t="shared" si="209"/>
        <v>0</v>
      </c>
      <c r="AX356" s="1475">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1763"/>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1764"/>
      <c r="AV357" s="1475">
        <f t="shared" si="208"/>
        <v>0</v>
      </c>
      <c r="AW357" s="1475">
        <f t="shared" si="209"/>
        <v>0</v>
      </c>
      <c r="AX357" s="1475">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1763"/>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1764"/>
      <c r="AV358" s="1475">
        <f t="shared" si="208"/>
        <v>0</v>
      </c>
      <c r="AW358" s="1475">
        <f t="shared" si="209"/>
        <v>0</v>
      </c>
      <c r="AX358" s="1475">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1763"/>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1764"/>
      <c r="AV359" s="1475">
        <f t="shared" si="208"/>
        <v>0</v>
      </c>
      <c r="AW359" s="1475">
        <f t="shared" si="209"/>
        <v>0</v>
      </c>
      <c r="AX359" s="1475">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1763"/>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1764"/>
      <c r="AV360" s="1475">
        <f t="shared" si="208"/>
        <v>0</v>
      </c>
      <c r="AW360" s="1475">
        <f t="shared" si="209"/>
        <v>0</v>
      </c>
      <c r="AX360" s="1475">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1763"/>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1764"/>
      <c r="AV361" s="1475">
        <f t="shared" si="208"/>
        <v>0</v>
      </c>
      <c r="AW361" s="1475">
        <f t="shared" si="209"/>
        <v>0</v>
      </c>
      <c r="AX361" s="1475">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1763"/>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1764"/>
      <c r="AV362" s="1475">
        <f t="shared" si="208"/>
        <v>0</v>
      </c>
      <c r="AW362" s="1475">
        <f t="shared" si="209"/>
        <v>0</v>
      </c>
      <c r="AX362" s="1475">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1763"/>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1764"/>
      <c r="AV363" s="1475">
        <f t="shared" si="208"/>
        <v>0</v>
      </c>
      <c r="AW363" s="1475">
        <f t="shared" si="209"/>
        <v>0</v>
      </c>
      <c r="AX363" s="1475">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1763"/>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8"/>
        <v>0</v>
      </c>
      <c r="AW364" s="1475">
        <f t="shared" si="209"/>
        <v>0</v>
      </c>
      <c r="AX364" s="1475">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1763"/>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1764"/>
      <c r="AV365" s="1475">
        <f t="shared" si="208"/>
        <v>0</v>
      </c>
      <c r="AW365" s="1475">
        <f t="shared" si="209"/>
        <v>0</v>
      </c>
      <c r="AX365" s="1475">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1763"/>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1764"/>
      <c r="AV366" s="1475">
        <f t="shared" si="208"/>
        <v>0</v>
      </c>
      <c r="AW366" s="1475">
        <f t="shared" si="209"/>
        <v>0</v>
      </c>
      <c r="AX366" s="1475">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1763"/>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7">A367</f>
        <v>0</v>
      </c>
      <c r="AW367" s="1475">
        <f t="shared" ref="AW367:AW397" si="238">B367</f>
        <v>0</v>
      </c>
      <c r="AX367" s="1475">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1763"/>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1764"/>
      <c r="AV368" s="1475">
        <f t="shared" si="237"/>
        <v>0</v>
      </c>
      <c r="AW368" s="1475">
        <f t="shared" si="238"/>
        <v>0</v>
      </c>
      <c r="AX368" s="1475">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1763"/>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1764"/>
      <c r="AV369" s="1475">
        <f t="shared" si="237"/>
        <v>0</v>
      </c>
      <c r="AW369" s="1475">
        <f t="shared" si="238"/>
        <v>0</v>
      </c>
      <c r="AX369" s="1475">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1763"/>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1764"/>
      <c r="AV370" s="1475">
        <f t="shared" si="237"/>
        <v>0</v>
      </c>
      <c r="AW370" s="1475">
        <f t="shared" si="238"/>
        <v>0</v>
      </c>
      <c r="AX370" s="1475">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1763"/>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1764"/>
      <c r="AV371" s="1475">
        <f t="shared" si="237"/>
        <v>0</v>
      </c>
      <c r="AW371" s="1475">
        <f t="shared" si="238"/>
        <v>0</v>
      </c>
      <c r="AX371" s="1475">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1763"/>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1764"/>
      <c r="AV372" s="1475">
        <f t="shared" si="237"/>
        <v>0</v>
      </c>
      <c r="AW372" s="1475">
        <f t="shared" si="238"/>
        <v>0</v>
      </c>
      <c r="AX372" s="1475">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1763"/>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1764"/>
      <c r="AV373" s="1475">
        <f t="shared" si="237"/>
        <v>0</v>
      </c>
      <c r="AW373" s="1475">
        <f t="shared" si="238"/>
        <v>0</v>
      </c>
      <c r="AX373" s="1475">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1763"/>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1764"/>
      <c r="AV374" s="1475">
        <f t="shared" si="237"/>
        <v>0</v>
      </c>
      <c r="AW374" s="1475">
        <f t="shared" si="238"/>
        <v>0</v>
      </c>
      <c r="AX374" s="1475">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1763"/>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1764"/>
      <c r="AV375" s="1475">
        <f t="shared" si="237"/>
        <v>0</v>
      </c>
      <c r="AW375" s="1475">
        <f t="shared" si="238"/>
        <v>0</v>
      </c>
      <c r="AX375" s="1475">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1763"/>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1764"/>
      <c r="AV376" s="1475">
        <f t="shared" si="237"/>
        <v>0</v>
      </c>
      <c r="AW376" s="1475">
        <f t="shared" si="238"/>
        <v>0</v>
      </c>
      <c r="AX376" s="1475">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1763"/>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1764"/>
      <c r="AV377" s="1475">
        <f t="shared" si="237"/>
        <v>0</v>
      </c>
      <c r="AW377" s="1475">
        <f t="shared" si="238"/>
        <v>0</v>
      </c>
      <c r="AX377" s="1475">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1763"/>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1764"/>
      <c r="AV378" s="1475">
        <f t="shared" si="237"/>
        <v>0</v>
      </c>
      <c r="AW378" s="1475">
        <f t="shared" si="238"/>
        <v>0</v>
      </c>
      <c r="AX378" s="1475">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1763"/>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1764"/>
      <c r="AV379" s="1475">
        <f t="shared" si="237"/>
        <v>0</v>
      </c>
      <c r="AW379" s="1475">
        <f t="shared" si="238"/>
        <v>0</v>
      </c>
      <c r="AX379" s="1475">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1763"/>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1764"/>
      <c r="AV380" s="1475">
        <f t="shared" si="237"/>
        <v>0</v>
      </c>
      <c r="AW380" s="1475">
        <f t="shared" si="238"/>
        <v>0</v>
      </c>
      <c r="AX380" s="1475">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1763"/>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1764"/>
      <c r="AV381" s="1475">
        <f t="shared" si="237"/>
        <v>0</v>
      </c>
      <c r="AW381" s="1475">
        <f t="shared" si="238"/>
        <v>0</v>
      </c>
      <c r="AX381" s="1475">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1763"/>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1764"/>
      <c r="AV382" s="1475">
        <f t="shared" si="237"/>
        <v>0</v>
      </c>
      <c r="AW382" s="1475">
        <f t="shared" si="238"/>
        <v>0</v>
      </c>
      <c r="AX382" s="1475">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1763"/>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1764"/>
      <c r="AV383" s="1475">
        <f t="shared" si="237"/>
        <v>0</v>
      </c>
      <c r="AW383" s="1475">
        <f t="shared" si="238"/>
        <v>0</v>
      </c>
      <c r="AX383" s="1475">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1763"/>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1764"/>
      <c r="AV384" s="1475">
        <f t="shared" si="237"/>
        <v>0</v>
      </c>
      <c r="AW384" s="1475">
        <f t="shared" si="238"/>
        <v>0</v>
      </c>
      <c r="AX384" s="1475">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1763"/>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1764"/>
      <c r="AV385" s="1475">
        <f t="shared" si="237"/>
        <v>0</v>
      </c>
      <c r="AW385" s="1475">
        <f t="shared" si="238"/>
        <v>0</v>
      </c>
      <c r="AX385" s="1475">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1763"/>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1764"/>
      <c r="AV386" s="1475">
        <f t="shared" si="237"/>
        <v>0</v>
      </c>
      <c r="AW386" s="1475">
        <f t="shared" si="238"/>
        <v>0</v>
      </c>
      <c r="AX386" s="1475">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1763"/>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1764"/>
      <c r="AV387" s="1475">
        <f t="shared" si="237"/>
        <v>0</v>
      </c>
      <c r="AW387" s="1475">
        <f t="shared" si="238"/>
        <v>0</v>
      </c>
      <c r="AX387" s="1475">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1763"/>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1764"/>
      <c r="AV388" s="1475">
        <f t="shared" si="237"/>
        <v>0</v>
      </c>
      <c r="AW388" s="1475">
        <f t="shared" si="238"/>
        <v>0</v>
      </c>
      <c r="AX388" s="1475">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1763"/>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1764"/>
      <c r="AV389" s="1475">
        <f t="shared" si="237"/>
        <v>0</v>
      </c>
      <c r="AW389" s="1475">
        <f t="shared" si="238"/>
        <v>0</v>
      </c>
      <c r="AX389" s="1475">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1763"/>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1764"/>
      <c r="AV390" s="1475">
        <f t="shared" si="237"/>
        <v>0</v>
      </c>
      <c r="AW390" s="1475">
        <f t="shared" si="238"/>
        <v>0</v>
      </c>
      <c r="AX390" s="1475">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1763"/>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1764"/>
      <c r="AV391" s="1475">
        <f t="shared" si="237"/>
        <v>0</v>
      </c>
      <c r="AW391" s="1475">
        <f t="shared" si="238"/>
        <v>0</v>
      </c>
      <c r="AX391" s="1475">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1763"/>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1764"/>
      <c r="AV392" s="1475">
        <f t="shared" si="237"/>
        <v>0</v>
      </c>
      <c r="AW392" s="1475">
        <f t="shared" si="238"/>
        <v>0</v>
      </c>
      <c r="AX392" s="1475">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1763"/>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1764"/>
      <c r="AV393" s="1475">
        <f t="shared" si="237"/>
        <v>0</v>
      </c>
      <c r="AW393" s="1475">
        <f t="shared" si="238"/>
        <v>0</v>
      </c>
      <c r="AX393" s="1475">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1763"/>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1764"/>
      <c r="AV394" s="1475">
        <f t="shared" si="237"/>
        <v>0</v>
      </c>
      <c r="AW394" s="1475">
        <f t="shared" si="238"/>
        <v>0</v>
      </c>
      <c r="AX394" s="1475">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1763"/>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1704"/>
      <c r="AV395" s="1475">
        <f t="shared" si="237"/>
        <v>0</v>
      </c>
      <c r="AW395" s="1475">
        <f t="shared" si="238"/>
        <v>0</v>
      </c>
      <c r="AX395" s="1475">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1763"/>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7"/>
        <v>0</v>
      </c>
      <c r="AW396" s="1475">
        <f t="shared" si="238"/>
        <v>0</v>
      </c>
      <c r="AX396" s="1475">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1763"/>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7"/>
        <v>0</v>
      </c>
      <c r="AW397" s="1475">
        <f t="shared" si="238"/>
        <v>0</v>
      </c>
      <c r="AX397" s="1475">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1763"/>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4">A398</f>
        <v>0</v>
      </c>
      <c r="AW398" s="1475">
        <f t="shared" ref="AW398:AW492" si="245">B398</f>
        <v>0</v>
      </c>
      <c r="AX398" s="1475">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1763"/>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1764"/>
      <c r="AV399" s="1475">
        <f t="shared" si="244"/>
        <v>0</v>
      </c>
      <c r="AW399" s="1475">
        <f t="shared" si="245"/>
        <v>0</v>
      </c>
      <c r="AX399" s="1475">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1763"/>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1764"/>
      <c r="AV400" s="1475">
        <f t="shared" si="244"/>
        <v>0</v>
      </c>
      <c r="AW400" s="1475">
        <f t="shared" si="245"/>
        <v>0</v>
      </c>
      <c r="AX400" s="1475">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1763"/>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1764"/>
      <c r="AV401" s="1475">
        <f t="shared" si="244"/>
        <v>0</v>
      </c>
      <c r="AW401" s="1475">
        <f t="shared" si="245"/>
        <v>0</v>
      </c>
      <c r="AX401" s="1475">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1763"/>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1764"/>
      <c r="AV402" s="1475">
        <f t="shared" si="244"/>
        <v>0</v>
      </c>
      <c r="AW402" s="1475">
        <f t="shared" si="245"/>
        <v>0</v>
      </c>
      <c r="AX402" s="1475">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1763"/>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1764"/>
      <c r="AV403" s="1475">
        <f t="shared" si="244"/>
        <v>0</v>
      </c>
      <c r="AW403" s="1475">
        <f t="shared" si="245"/>
        <v>0</v>
      </c>
      <c r="AX403" s="1475">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1763"/>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1764"/>
      <c r="AV404" s="1475">
        <f t="shared" si="244"/>
        <v>0</v>
      </c>
      <c r="AW404" s="1475">
        <f t="shared" si="245"/>
        <v>0</v>
      </c>
      <c r="AX404" s="1475">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1763"/>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1764"/>
      <c r="AV405" s="1475">
        <f t="shared" si="244"/>
        <v>0</v>
      </c>
      <c r="AW405" s="1475">
        <f t="shared" si="245"/>
        <v>0</v>
      </c>
      <c r="AX405" s="1475">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1763"/>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1764"/>
      <c r="AV406" s="1475">
        <f t="shared" si="244"/>
        <v>0</v>
      </c>
      <c r="AW406" s="1475">
        <f t="shared" si="245"/>
        <v>0</v>
      </c>
      <c r="AX406" s="1475">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1763"/>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1764"/>
      <c r="AV407" s="1475">
        <f t="shared" si="244"/>
        <v>0</v>
      </c>
      <c r="AW407" s="1475">
        <f t="shared" si="245"/>
        <v>0</v>
      </c>
      <c r="AX407" s="1475">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1763"/>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1764"/>
      <c r="AV408" s="1475">
        <f t="shared" si="244"/>
        <v>0</v>
      </c>
      <c r="AW408" s="1475">
        <f t="shared" si="245"/>
        <v>0</v>
      </c>
      <c r="AX408" s="1475">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1763"/>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1764"/>
      <c r="AV409" s="1475">
        <f t="shared" si="244"/>
        <v>0</v>
      </c>
      <c r="AW409" s="1475">
        <f t="shared" si="245"/>
        <v>0</v>
      </c>
      <c r="AX409" s="1475">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1763"/>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1764"/>
      <c r="AV410" s="1475">
        <f t="shared" si="244"/>
        <v>0</v>
      </c>
      <c r="AW410" s="1475">
        <f t="shared" si="245"/>
        <v>0</v>
      </c>
      <c r="AX410" s="1475">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1763"/>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1764"/>
      <c r="AV411" s="1475">
        <f t="shared" si="244"/>
        <v>0</v>
      </c>
      <c r="AW411" s="1475">
        <f t="shared" si="245"/>
        <v>0</v>
      </c>
      <c r="AX411" s="1475">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1763"/>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1764"/>
      <c r="AV412" s="1475">
        <f t="shared" si="244"/>
        <v>0</v>
      </c>
      <c r="AW412" s="1475">
        <f t="shared" si="245"/>
        <v>0</v>
      </c>
      <c r="AX412" s="1475">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1763"/>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1764"/>
      <c r="AV413" s="1475">
        <f t="shared" si="244"/>
        <v>0</v>
      </c>
      <c r="AW413" s="1475">
        <f t="shared" si="245"/>
        <v>0</v>
      </c>
      <c r="AX413" s="1475">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1763"/>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1764"/>
      <c r="AV414" s="1475">
        <f t="shared" si="244"/>
        <v>0</v>
      </c>
      <c r="AW414" s="1475">
        <f t="shared" si="245"/>
        <v>0</v>
      </c>
      <c r="AX414" s="1475">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1763"/>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1764"/>
      <c r="AV415" s="1475">
        <f t="shared" si="244"/>
        <v>0</v>
      </c>
      <c r="AW415" s="1475">
        <f t="shared" si="245"/>
        <v>0</v>
      </c>
      <c r="AX415" s="1475">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1763"/>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1764"/>
      <c r="AV416" s="1475">
        <f t="shared" si="244"/>
        <v>0</v>
      </c>
      <c r="AW416" s="1475">
        <f t="shared" si="245"/>
        <v>0</v>
      </c>
      <c r="AX416" s="1475">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1763"/>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1764"/>
      <c r="AV417" s="1475">
        <f t="shared" si="244"/>
        <v>0</v>
      </c>
      <c r="AW417" s="1475">
        <f t="shared" si="245"/>
        <v>0</v>
      </c>
      <c r="AX417" s="1475">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1763"/>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1764"/>
      <c r="AV418" s="1475">
        <f t="shared" si="244"/>
        <v>0</v>
      </c>
      <c r="AW418" s="1475">
        <f t="shared" si="245"/>
        <v>0</v>
      </c>
      <c r="AX418" s="1475">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1763"/>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1764"/>
      <c r="AV419" s="1475">
        <f t="shared" si="244"/>
        <v>0</v>
      </c>
      <c r="AW419" s="1475">
        <f t="shared" si="245"/>
        <v>0</v>
      </c>
      <c r="AX419" s="1475">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1763"/>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1764"/>
      <c r="AV420" s="1475">
        <f t="shared" si="244"/>
        <v>0</v>
      </c>
      <c r="AW420" s="1475">
        <f t="shared" si="245"/>
        <v>0</v>
      </c>
      <c r="AX420" s="1475">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1763"/>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1764"/>
      <c r="AV421" s="1475">
        <f t="shared" si="244"/>
        <v>0</v>
      </c>
      <c r="AW421" s="1475">
        <f t="shared" si="245"/>
        <v>0</v>
      </c>
      <c r="AX421" s="1475">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1763"/>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1764"/>
      <c r="AV422" s="1475">
        <f t="shared" si="244"/>
        <v>0</v>
      </c>
      <c r="AW422" s="1475">
        <f t="shared" si="245"/>
        <v>0</v>
      </c>
      <c r="AX422" s="1475">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1763"/>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1764"/>
      <c r="AV423" s="1475">
        <f t="shared" si="244"/>
        <v>0</v>
      </c>
      <c r="AW423" s="1475">
        <f t="shared" si="245"/>
        <v>0</v>
      </c>
      <c r="AX423" s="1475">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1763"/>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1764"/>
      <c r="AV424" s="1475">
        <f t="shared" si="244"/>
        <v>0</v>
      </c>
      <c r="AW424" s="1475">
        <f t="shared" si="245"/>
        <v>0</v>
      </c>
      <c r="AX424" s="1475">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1763"/>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1764"/>
      <c r="AV425" s="1475">
        <f t="shared" si="244"/>
        <v>0</v>
      </c>
      <c r="AW425" s="1475">
        <f t="shared" si="245"/>
        <v>0</v>
      </c>
      <c r="AX425" s="1475">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1763"/>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1764"/>
      <c r="AV426" s="1475">
        <f t="shared" si="244"/>
        <v>0</v>
      </c>
      <c r="AW426" s="1475">
        <f t="shared" si="245"/>
        <v>0</v>
      </c>
      <c r="AX426" s="1475">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1763"/>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1764"/>
      <c r="AV427" s="1475">
        <f t="shared" si="244"/>
        <v>0</v>
      </c>
      <c r="AW427" s="1475">
        <f t="shared" si="245"/>
        <v>0</v>
      </c>
      <c r="AX427" s="1475">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1763"/>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1764"/>
      <c r="AV428" s="1475">
        <f t="shared" si="244"/>
        <v>0</v>
      </c>
      <c r="AW428" s="1475">
        <f t="shared" si="245"/>
        <v>0</v>
      </c>
      <c r="AX428" s="1475">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1763"/>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1764"/>
      <c r="AV429" s="1475">
        <f t="shared" si="244"/>
        <v>0</v>
      </c>
      <c r="AW429" s="1475">
        <f t="shared" si="245"/>
        <v>0</v>
      </c>
      <c r="AX429" s="1475">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1763"/>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1764"/>
      <c r="AV430" s="1475">
        <f t="shared" si="244"/>
        <v>0</v>
      </c>
      <c r="AW430" s="1475">
        <f t="shared" si="245"/>
        <v>0</v>
      </c>
      <c r="AX430" s="1475">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1763"/>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1764"/>
      <c r="AV431" s="1475">
        <f t="shared" si="244"/>
        <v>0</v>
      </c>
      <c r="AW431" s="1475">
        <f t="shared" si="245"/>
        <v>0</v>
      </c>
      <c r="AX431" s="1475">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1763"/>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1764"/>
      <c r="AV432" s="1475">
        <f t="shared" si="244"/>
        <v>0</v>
      </c>
      <c r="AW432" s="1475">
        <f t="shared" si="245"/>
        <v>0</v>
      </c>
      <c r="AX432" s="1475">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1763"/>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1764"/>
      <c r="AV433" s="1475">
        <f t="shared" si="244"/>
        <v>0</v>
      </c>
      <c r="AW433" s="1475">
        <f t="shared" si="245"/>
        <v>0</v>
      </c>
      <c r="AX433" s="1475">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1763"/>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1764"/>
      <c r="AV434" s="1475">
        <f t="shared" si="244"/>
        <v>0</v>
      </c>
      <c r="AW434" s="1475">
        <f t="shared" si="245"/>
        <v>0</v>
      </c>
      <c r="AX434" s="1475">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1763"/>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1764"/>
      <c r="AV435" s="1475">
        <f t="shared" si="244"/>
        <v>0</v>
      </c>
      <c r="AW435" s="1475">
        <f t="shared" si="245"/>
        <v>0</v>
      </c>
      <c r="AX435" s="1475">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1763"/>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1764"/>
      <c r="AV436" s="1475">
        <f t="shared" si="244"/>
        <v>0</v>
      </c>
      <c r="AW436" s="1475">
        <f t="shared" si="245"/>
        <v>0</v>
      </c>
      <c r="AX436" s="1475">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1763"/>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1764"/>
      <c r="AV437" s="1475">
        <f t="shared" si="244"/>
        <v>0</v>
      </c>
      <c r="AW437" s="1475">
        <f t="shared" si="245"/>
        <v>0</v>
      </c>
      <c r="AX437" s="1475">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1763"/>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1764"/>
      <c r="AV438" s="1475">
        <f t="shared" si="244"/>
        <v>0</v>
      </c>
      <c r="AW438" s="1475">
        <f t="shared" si="245"/>
        <v>0</v>
      </c>
      <c r="AX438" s="1475">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1763"/>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1764"/>
      <c r="AV439" s="1475">
        <f t="shared" si="244"/>
        <v>0</v>
      </c>
      <c r="AW439" s="1475">
        <f t="shared" si="245"/>
        <v>0</v>
      </c>
      <c r="AX439" s="1475">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1763"/>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1764"/>
      <c r="AV440" s="1475">
        <f t="shared" si="244"/>
        <v>0</v>
      </c>
      <c r="AW440" s="1475">
        <f t="shared" si="245"/>
        <v>0</v>
      </c>
      <c r="AX440" s="1475">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1763"/>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1764"/>
      <c r="AV441" s="1475">
        <f t="shared" si="244"/>
        <v>0</v>
      </c>
      <c r="AW441" s="1475">
        <f t="shared" si="245"/>
        <v>0</v>
      </c>
      <c r="AX441" s="1475">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1763"/>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1764"/>
      <c r="AV442" s="1475">
        <f t="shared" si="244"/>
        <v>0</v>
      </c>
      <c r="AW442" s="1475">
        <f t="shared" si="245"/>
        <v>0</v>
      </c>
      <c r="AX442" s="1475">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1763"/>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1764"/>
      <c r="AV443" s="1475">
        <f t="shared" si="244"/>
        <v>0</v>
      </c>
      <c r="AW443" s="1475">
        <f t="shared" si="245"/>
        <v>0</v>
      </c>
      <c r="AX443" s="1475">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1763"/>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1764"/>
      <c r="AV444" s="1475">
        <f t="shared" si="244"/>
        <v>0</v>
      </c>
      <c r="AW444" s="1475">
        <f t="shared" si="245"/>
        <v>0</v>
      </c>
      <c r="AX444" s="1475">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1763"/>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1764"/>
      <c r="AV445" s="1475">
        <f t="shared" si="244"/>
        <v>0</v>
      </c>
      <c r="AW445" s="1475">
        <f t="shared" si="245"/>
        <v>0</v>
      </c>
      <c r="AX445" s="1475">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1763"/>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1764"/>
      <c r="AV446" s="1475">
        <f t="shared" si="244"/>
        <v>0</v>
      </c>
      <c r="AW446" s="1475">
        <f t="shared" si="245"/>
        <v>0</v>
      </c>
      <c r="AX446" s="1475">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1763"/>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1764"/>
      <c r="AV447" s="1475">
        <f t="shared" si="244"/>
        <v>0</v>
      </c>
      <c r="AW447" s="1475">
        <f t="shared" si="245"/>
        <v>0</v>
      </c>
      <c r="AX447" s="1475">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1763"/>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1764"/>
      <c r="AV448" s="1475">
        <f t="shared" si="244"/>
        <v>0</v>
      </c>
      <c r="AW448" s="1475">
        <f t="shared" si="245"/>
        <v>0</v>
      </c>
      <c r="AX448" s="1475">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1763"/>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1764"/>
      <c r="AV449" s="1475">
        <f t="shared" si="244"/>
        <v>0</v>
      </c>
      <c r="AW449" s="1475">
        <f t="shared" si="245"/>
        <v>0</v>
      </c>
      <c r="AX449" s="1475">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1763"/>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1764"/>
      <c r="AV450" s="1475">
        <f t="shared" si="244"/>
        <v>0</v>
      </c>
      <c r="AW450" s="1475">
        <f t="shared" si="245"/>
        <v>0</v>
      </c>
      <c r="AX450" s="1475">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1763"/>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1764"/>
      <c r="AV451" s="1475">
        <f t="shared" si="244"/>
        <v>0</v>
      </c>
      <c r="AW451" s="1475">
        <f t="shared" si="245"/>
        <v>0</v>
      </c>
      <c r="AX451" s="1475">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1763"/>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1764"/>
      <c r="AV452" s="1475">
        <f t="shared" si="244"/>
        <v>0</v>
      </c>
      <c r="AW452" s="1475">
        <f t="shared" si="245"/>
        <v>0</v>
      </c>
      <c r="AX452" s="1475">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1763"/>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1764"/>
      <c r="AV453" s="1475">
        <f t="shared" si="244"/>
        <v>0</v>
      </c>
      <c r="AW453" s="1475">
        <f t="shared" si="245"/>
        <v>0</v>
      </c>
      <c r="AX453" s="1475">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1763"/>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1764"/>
      <c r="AV454" s="1475">
        <f t="shared" si="244"/>
        <v>0</v>
      </c>
      <c r="AW454" s="1475">
        <f t="shared" si="245"/>
        <v>0</v>
      </c>
      <c r="AX454" s="1475">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1763"/>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1764"/>
      <c r="AV455" s="1475">
        <f t="shared" si="244"/>
        <v>0</v>
      </c>
      <c r="AW455" s="1475">
        <f t="shared" si="245"/>
        <v>0</v>
      </c>
      <c r="AX455" s="1475">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1763"/>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1764"/>
      <c r="AV456" s="1475">
        <f t="shared" si="244"/>
        <v>0</v>
      </c>
      <c r="AW456" s="1475">
        <f t="shared" si="245"/>
        <v>0</v>
      </c>
      <c r="AX456" s="1475">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1763"/>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1764"/>
      <c r="AV457" s="1475">
        <f t="shared" si="244"/>
        <v>0</v>
      </c>
      <c r="AW457" s="1475">
        <f t="shared" si="245"/>
        <v>0</v>
      </c>
      <c r="AX457" s="1475">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1763"/>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1764"/>
      <c r="AV458" s="1475">
        <f t="shared" si="244"/>
        <v>0</v>
      </c>
      <c r="AW458" s="1475">
        <f t="shared" si="245"/>
        <v>0</v>
      </c>
      <c r="AX458" s="1475">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1763"/>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1764"/>
      <c r="AV459" s="1475">
        <f t="shared" si="244"/>
        <v>0</v>
      </c>
      <c r="AW459" s="1475">
        <f t="shared" si="245"/>
        <v>0</v>
      </c>
      <c r="AX459" s="1475">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1763"/>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1764"/>
      <c r="AV460" s="1475">
        <f t="shared" si="244"/>
        <v>0</v>
      </c>
      <c r="AW460" s="1475">
        <f t="shared" si="245"/>
        <v>0</v>
      </c>
      <c r="AX460" s="1475">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1763"/>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1764"/>
      <c r="AV461" s="1475">
        <f t="shared" si="244"/>
        <v>0</v>
      </c>
      <c r="AW461" s="1475">
        <f t="shared" si="245"/>
        <v>0</v>
      </c>
      <c r="AX461" s="1475">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1763"/>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1764"/>
      <c r="AV462" s="1475">
        <f t="shared" si="244"/>
        <v>0</v>
      </c>
      <c r="AW462" s="1475">
        <f t="shared" si="245"/>
        <v>0</v>
      </c>
      <c r="AX462" s="1475">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1763"/>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1764"/>
      <c r="AV463" s="1475">
        <f t="shared" si="244"/>
        <v>0</v>
      </c>
      <c r="AW463" s="1475">
        <f t="shared" si="245"/>
        <v>0</v>
      </c>
      <c r="AX463" s="1475">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1763"/>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1764"/>
      <c r="AV464" s="1475">
        <f t="shared" si="244"/>
        <v>0</v>
      </c>
      <c r="AW464" s="1475">
        <f t="shared" si="245"/>
        <v>0</v>
      </c>
      <c r="AX464" s="1475">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1763"/>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1764"/>
      <c r="AV465" s="1475">
        <f t="shared" si="244"/>
        <v>0</v>
      </c>
      <c r="AW465" s="1475">
        <f t="shared" si="245"/>
        <v>0</v>
      </c>
      <c r="AX465" s="1475">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1763"/>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1764"/>
      <c r="AV466" s="1475">
        <f t="shared" si="244"/>
        <v>0</v>
      </c>
      <c r="AW466" s="1475">
        <f t="shared" si="245"/>
        <v>0</v>
      </c>
      <c r="AX466" s="1475">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1763"/>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1764"/>
      <c r="AV467" s="1475">
        <f t="shared" si="244"/>
        <v>0</v>
      </c>
      <c r="AW467" s="1475">
        <f t="shared" si="245"/>
        <v>0</v>
      </c>
      <c r="AX467" s="1475">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1763"/>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1764"/>
      <c r="AV468" s="1475">
        <f t="shared" si="244"/>
        <v>0</v>
      </c>
      <c r="AW468" s="1475">
        <f t="shared" si="245"/>
        <v>0</v>
      </c>
      <c r="AX468" s="1475">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1763"/>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1764"/>
      <c r="AV469" s="1475">
        <f t="shared" si="244"/>
        <v>0</v>
      </c>
      <c r="AW469" s="1475">
        <f t="shared" si="245"/>
        <v>0</v>
      </c>
      <c r="AX469" s="1475">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1763"/>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1764"/>
      <c r="AV470" s="1475">
        <f t="shared" si="244"/>
        <v>0</v>
      </c>
      <c r="AW470" s="1475">
        <f t="shared" si="245"/>
        <v>0</v>
      </c>
      <c r="AX470" s="1475">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1763"/>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1764"/>
      <c r="AV471" s="1475">
        <f t="shared" si="244"/>
        <v>0</v>
      </c>
      <c r="AW471" s="1475">
        <f t="shared" si="245"/>
        <v>0</v>
      </c>
      <c r="AX471" s="1475">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1763"/>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1764"/>
      <c r="AV472" s="1475">
        <f t="shared" si="244"/>
        <v>0</v>
      </c>
      <c r="AW472" s="1475">
        <f t="shared" si="245"/>
        <v>0</v>
      </c>
      <c r="AX472" s="1475">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1763"/>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1764"/>
      <c r="AV473" s="1475">
        <f t="shared" si="244"/>
        <v>0</v>
      </c>
      <c r="AW473" s="1475">
        <f t="shared" si="245"/>
        <v>0</v>
      </c>
      <c r="AX473" s="1475">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1763"/>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1764"/>
      <c r="AV474" s="1475">
        <f t="shared" si="244"/>
        <v>0</v>
      </c>
      <c r="AW474" s="1475">
        <f t="shared" si="245"/>
        <v>0</v>
      </c>
      <c r="AX474" s="1475">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1763"/>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1764"/>
      <c r="AV475" s="1475">
        <f t="shared" si="244"/>
        <v>0</v>
      </c>
      <c r="AW475" s="1475">
        <f t="shared" si="245"/>
        <v>0</v>
      </c>
      <c r="AX475" s="1475">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1763"/>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1764"/>
      <c r="AV476" s="1475">
        <f t="shared" si="244"/>
        <v>0</v>
      </c>
      <c r="AW476" s="1475">
        <f t="shared" si="245"/>
        <v>0</v>
      </c>
      <c r="AX476" s="1475">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1763"/>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1764"/>
      <c r="AV477" s="1475">
        <f t="shared" si="244"/>
        <v>0</v>
      </c>
      <c r="AW477" s="1475">
        <f t="shared" si="245"/>
        <v>0</v>
      </c>
      <c r="AX477" s="1475">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1763"/>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1764"/>
      <c r="AV478" s="1475">
        <f t="shared" si="244"/>
        <v>0</v>
      </c>
      <c r="AW478" s="1475">
        <f t="shared" si="245"/>
        <v>0</v>
      </c>
      <c r="AX478" s="1475">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1763"/>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1764"/>
      <c r="AV479" s="1475">
        <f t="shared" si="244"/>
        <v>0</v>
      </c>
      <c r="AW479" s="1475">
        <f t="shared" si="245"/>
        <v>0</v>
      </c>
      <c r="AX479" s="1475">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1763"/>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1764"/>
      <c r="AV480" s="1475">
        <f t="shared" si="244"/>
        <v>0</v>
      </c>
      <c r="AW480" s="1475">
        <f t="shared" si="245"/>
        <v>0</v>
      </c>
      <c r="AX480" s="1475">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1763"/>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1764"/>
      <c r="AV481" s="1475">
        <f t="shared" si="244"/>
        <v>0</v>
      </c>
      <c r="AW481" s="1475">
        <f t="shared" si="245"/>
        <v>0</v>
      </c>
      <c r="AX481" s="1475">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1763"/>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1764"/>
      <c r="AV482" s="1475">
        <f t="shared" si="244"/>
        <v>0</v>
      </c>
      <c r="AW482" s="1475">
        <f t="shared" si="245"/>
        <v>0</v>
      </c>
      <c r="AX482" s="1475">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1763"/>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1764"/>
      <c r="AV483" s="1475">
        <f t="shared" si="244"/>
        <v>0</v>
      </c>
      <c r="AW483" s="1475">
        <f t="shared" si="245"/>
        <v>0</v>
      </c>
      <c r="AX483" s="1475">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1763"/>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1764"/>
      <c r="AV484" s="1475">
        <f t="shared" si="244"/>
        <v>0</v>
      </c>
      <c r="AW484" s="1475">
        <f t="shared" si="245"/>
        <v>0</v>
      </c>
      <c r="AX484" s="1475">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1763"/>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1764"/>
      <c r="AV485" s="1475">
        <f t="shared" si="244"/>
        <v>0</v>
      </c>
      <c r="AW485" s="1475">
        <f t="shared" si="245"/>
        <v>0</v>
      </c>
      <c r="AX485" s="1475">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1763"/>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1764"/>
      <c r="AV486" s="1475">
        <f t="shared" si="244"/>
        <v>0</v>
      </c>
      <c r="AW486" s="1475">
        <f t="shared" si="245"/>
        <v>0</v>
      </c>
      <c r="AX486" s="1475">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1763"/>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1764"/>
      <c r="AV487" s="1475">
        <f t="shared" si="244"/>
        <v>0</v>
      </c>
      <c r="AW487" s="1475">
        <f t="shared" si="245"/>
        <v>0</v>
      </c>
      <c r="AX487" s="1475">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1763"/>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1764"/>
      <c r="AV488" s="1475">
        <f t="shared" si="244"/>
        <v>0</v>
      </c>
      <c r="AW488" s="1475">
        <f t="shared" si="245"/>
        <v>0</v>
      </c>
      <c r="AX488" s="1475">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1763"/>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1764"/>
      <c r="AV489" s="1475">
        <f t="shared" si="244"/>
        <v>0</v>
      </c>
      <c r="AW489" s="1475">
        <f t="shared" si="245"/>
        <v>0</v>
      </c>
      <c r="AX489" s="1475">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1763"/>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4"/>
        <v>0</v>
      </c>
      <c r="AW490" s="1475">
        <f t="shared" si="245"/>
        <v>0</v>
      </c>
      <c r="AX490" s="1475">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1763"/>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1704"/>
      <c r="AV491" s="1475">
        <f t="shared" si="244"/>
        <v>0</v>
      </c>
      <c r="AW491" s="1475">
        <f t="shared" si="245"/>
        <v>0</v>
      </c>
      <c r="AX491" s="1475">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1763"/>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1704"/>
      <c r="AV492" s="1475">
        <f t="shared" si="244"/>
        <v>0</v>
      </c>
      <c r="AW492" s="1475">
        <f t="shared" si="245"/>
        <v>0</v>
      </c>
      <c r="AX492" s="1475">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1763"/>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5">A493</f>
        <v>0</v>
      </c>
      <c r="AW493" s="1475">
        <f t="shared" ref="AW493:AW520" si="296">B493</f>
        <v>0</v>
      </c>
      <c r="AX493" s="1475">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1763"/>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1764"/>
      <c r="AV494" s="1475">
        <f t="shared" si="295"/>
        <v>0</v>
      </c>
      <c r="AW494" s="1475">
        <f t="shared" si="296"/>
        <v>0</v>
      </c>
      <c r="AX494" s="1475">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1763"/>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1764"/>
      <c r="AV495" s="1475">
        <f t="shared" si="295"/>
        <v>0</v>
      </c>
      <c r="AW495" s="1475">
        <f t="shared" si="296"/>
        <v>0</v>
      </c>
      <c r="AX495" s="1475">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1763"/>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1764"/>
      <c r="AV496" s="1475">
        <f t="shared" si="295"/>
        <v>0</v>
      </c>
      <c r="AW496" s="1475">
        <f t="shared" si="296"/>
        <v>0</v>
      </c>
      <c r="AX496" s="1475">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1763"/>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1764"/>
      <c r="AV497" s="1475">
        <f t="shared" si="295"/>
        <v>0</v>
      </c>
      <c r="AW497" s="1475">
        <f t="shared" si="296"/>
        <v>0</v>
      </c>
      <c r="AX497" s="1475">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1763"/>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1764"/>
      <c r="AV498" s="1475">
        <f t="shared" si="295"/>
        <v>0</v>
      </c>
      <c r="AW498" s="1475">
        <f t="shared" si="296"/>
        <v>0</v>
      </c>
      <c r="AX498" s="1475">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1763"/>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1764"/>
      <c r="AV499" s="1475">
        <f t="shared" si="295"/>
        <v>0</v>
      </c>
      <c r="AW499" s="1475">
        <f t="shared" si="296"/>
        <v>0</v>
      </c>
      <c r="AX499" s="1475">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1763"/>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1764"/>
      <c r="AV500" s="1475">
        <f t="shared" si="295"/>
        <v>0</v>
      </c>
      <c r="AW500" s="1475">
        <f t="shared" si="296"/>
        <v>0</v>
      </c>
      <c r="AX500" s="1475">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1763"/>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1764"/>
      <c r="AV501" s="1475">
        <f t="shared" si="295"/>
        <v>0</v>
      </c>
      <c r="AW501" s="1475">
        <f t="shared" si="296"/>
        <v>0</v>
      </c>
      <c r="AX501" s="1475">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1763"/>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1764"/>
      <c r="AV502" s="1475">
        <f t="shared" si="295"/>
        <v>0</v>
      </c>
      <c r="AW502" s="1475">
        <f t="shared" si="296"/>
        <v>0</v>
      </c>
      <c r="AX502" s="1475">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1763"/>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1764"/>
      <c r="AV503" s="1475">
        <f t="shared" si="295"/>
        <v>0</v>
      </c>
      <c r="AW503" s="1475">
        <f t="shared" si="296"/>
        <v>0</v>
      </c>
      <c r="AX503" s="1475">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1763"/>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1764"/>
      <c r="AV504" s="1475">
        <f t="shared" si="295"/>
        <v>0</v>
      </c>
      <c r="AW504" s="1475">
        <f t="shared" si="296"/>
        <v>0</v>
      </c>
      <c r="AX504" s="1475">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1763"/>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1764"/>
      <c r="AV505" s="1475">
        <f t="shared" si="295"/>
        <v>0</v>
      </c>
      <c r="AW505" s="1475">
        <f t="shared" si="296"/>
        <v>0</v>
      </c>
      <c r="AX505" s="1475">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1763"/>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1764"/>
      <c r="AV506" s="1475">
        <f t="shared" si="295"/>
        <v>0</v>
      </c>
      <c r="AW506" s="1475">
        <f t="shared" si="296"/>
        <v>0</v>
      </c>
      <c r="AX506" s="1475">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1763"/>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1764"/>
      <c r="AV507" s="1475">
        <f t="shared" si="295"/>
        <v>0</v>
      </c>
      <c r="AW507" s="1475">
        <f t="shared" si="296"/>
        <v>0</v>
      </c>
      <c r="AX507" s="1475">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1763"/>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1764"/>
      <c r="AV508" s="1475">
        <f t="shared" si="295"/>
        <v>0</v>
      </c>
      <c r="AW508" s="1475">
        <f t="shared" si="296"/>
        <v>0</v>
      </c>
      <c r="AX508" s="1475">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1763"/>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1764"/>
      <c r="AV509" s="1475">
        <f t="shared" si="295"/>
        <v>0</v>
      </c>
      <c r="AW509" s="1475">
        <f t="shared" si="296"/>
        <v>0</v>
      </c>
      <c r="AX509" s="1475">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1763"/>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1764"/>
      <c r="AV510" s="1475">
        <f t="shared" si="295"/>
        <v>0</v>
      </c>
      <c r="AW510" s="1475">
        <f t="shared" si="296"/>
        <v>0</v>
      </c>
      <c r="AX510" s="1475">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1763"/>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1764"/>
      <c r="AV511" s="1475">
        <f t="shared" si="295"/>
        <v>0</v>
      </c>
      <c r="AW511" s="1475">
        <f t="shared" si="296"/>
        <v>0</v>
      </c>
      <c r="AX511" s="1475">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1763"/>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1764"/>
      <c r="AV512" s="1475">
        <f t="shared" si="295"/>
        <v>0</v>
      </c>
      <c r="AW512" s="1475">
        <f t="shared" si="296"/>
        <v>0</v>
      </c>
      <c r="AX512" s="1475">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1763"/>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1764"/>
      <c r="AV513" s="1475">
        <f t="shared" si="295"/>
        <v>0</v>
      </c>
      <c r="AW513" s="1475">
        <f t="shared" si="296"/>
        <v>0</v>
      </c>
      <c r="AX513" s="1475">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1763"/>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1764"/>
      <c r="AV514" s="1475">
        <f t="shared" si="295"/>
        <v>0</v>
      </c>
      <c r="AW514" s="1475">
        <f t="shared" si="296"/>
        <v>0</v>
      </c>
      <c r="AX514" s="1475">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1763"/>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1764"/>
      <c r="AV515" s="1475">
        <f t="shared" si="295"/>
        <v>0</v>
      </c>
      <c r="AW515" s="1475">
        <f t="shared" si="296"/>
        <v>0</v>
      </c>
      <c r="AX515" s="1475">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1763"/>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1764"/>
      <c r="AV516" s="1475">
        <f t="shared" si="295"/>
        <v>0</v>
      </c>
      <c r="AW516" s="1475">
        <f t="shared" si="296"/>
        <v>0</v>
      </c>
      <c r="AX516" s="1475">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1763"/>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1764"/>
      <c r="AV517" s="1475">
        <f t="shared" si="295"/>
        <v>0</v>
      </c>
      <c r="AW517" s="1475">
        <f t="shared" si="296"/>
        <v>0</v>
      </c>
      <c r="AX517" s="1475">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1763"/>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1764"/>
      <c r="AV518" s="1475">
        <f t="shared" si="295"/>
        <v>0</v>
      </c>
      <c r="AW518" s="1475">
        <f t="shared" si="296"/>
        <v>0</v>
      </c>
      <c r="AX518" s="1475">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1763"/>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1764"/>
      <c r="AV519" s="1475">
        <f t="shared" si="295"/>
        <v>0</v>
      </c>
      <c r="AW519" s="1475">
        <f t="shared" si="296"/>
        <v>0</v>
      </c>
      <c r="AX519" s="1475">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1763"/>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1764"/>
      <c r="AV520" s="1475">
        <f t="shared" si="295"/>
        <v>0</v>
      </c>
      <c r="AW520" s="1475">
        <f t="shared" si="296"/>
        <v>0</v>
      </c>
      <c r="AX520" s="1475">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1763"/>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9">A521</f>
        <v>0</v>
      </c>
      <c r="AW521" s="1475">
        <f t="shared" ref="AW521:AW552" si="300">B521</f>
        <v>0</v>
      </c>
      <c r="AX521" s="1475">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1763"/>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9"/>
        <v>0</v>
      </c>
      <c r="AW522" s="1475">
        <f t="shared" si="300"/>
        <v>0</v>
      </c>
      <c r="AX522" s="1475">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1763"/>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1764"/>
      <c r="AV523" s="1475">
        <f t="shared" si="299"/>
        <v>0</v>
      </c>
      <c r="AW523" s="1475">
        <f t="shared" si="300"/>
        <v>0</v>
      </c>
      <c r="AX523" s="1475">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1763"/>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1764"/>
      <c r="AV524" s="1475">
        <f t="shared" si="299"/>
        <v>0</v>
      </c>
      <c r="AW524" s="1475">
        <f t="shared" si="300"/>
        <v>0</v>
      </c>
      <c r="AX524" s="1475">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1763"/>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1764"/>
      <c r="AV525" s="1475">
        <f t="shared" si="299"/>
        <v>0</v>
      </c>
      <c r="AW525" s="1475">
        <f t="shared" si="300"/>
        <v>0</v>
      </c>
      <c r="AX525" s="1475">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1763"/>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1764"/>
      <c r="AV526" s="1475">
        <f t="shared" si="299"/>
        <v>0</v>
      </c>
      <c r="AW526" s="1475">
        <f t="shared" si="300"/>
        <v>0</v>
      </c>
      <c r="AX526" s="1475">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1763"/>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1764"/>
      <c r="AV527" s="1475">
        <f t="shared" si="299"/>
        <v>0</v>
      </c>
      <c r="AW527" s="1475">
        <f t="shared" si="300"/>
        <v>0</v>
      </c>
      <c r="AX527" s="1475">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1763"/>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1764"/>
      <c r="AV528" s="1475">
        <f t="shared" si="299"/>
        <v>0</v>
      </c>
      <c r="AW528" s="1475">
        <f t="shared" si="300"/>
        <v>0</v>
      </c>
      <c r="AX528" s="1475">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1763"/>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1764"/>
      <c r="AV529" s="1475">
        <f t="shared" si="299"/>
        <v>0</v>
      </c>
      <c r="AW529" s="1475">
        <f t="shared" si="300"/>
        <v>0</v>
      </c>
      <c r="AX529" s="1475">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1763"/>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1764"/>
      <c r="AV530" s="1475">
        <f t="shared" si="299"/>
        <v>0</v>
      </c>
      <c r="AW530" s="1475">
        <f t="shared" si="300"/>
        <v>0</v>
      </c>
      <c r="AX530" s="1475">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1763"/>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1764"/>
      <c r="AV531" s="1475">
        <f t="shared" si="299"/>
        <v>0</v>
      </c>
      <c r="AW531" s="1475">
        <f t="shared" si="300"/>
        <v>0</v>
      </c>
      <c r="AX531" s="1475">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1763"/>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1764"/>
      <c r="AV532" s="1475">
        <f t="shared" si="299"/>
        <v>0</v>
      </c>
      <c r="AW532" s="1475">
        <f t="shared" si="300"/>
        <v>0</v>
      </c>
      <c r="AX532" s="1475">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1763"/>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1764"/>
      <c r="AV533" s="1475">
        <f t="shared" si="299"/>
        <v>0</v>
      </c>
      <c r="AW533" s="1475">
        <f t="shared" si="300"/>
        <v>0</v>
      </c>
      <c r="AX533" s="1475">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1763"/>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1764"/>
      <c r="AV534" s="1475">
        <f t="shared" si="299"/>
        <v>0</v>
      </c>
      <c r="AW534" s="1475">
        <f t="shared" si="300"/>
        <v>0</v>
      </c>
      <c r="AX534" s="1475">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1763"/>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1764"/>
      <c r="AV535" s="1475">
        <f t="shared" si="299"/>
        <v>0</v>
      </c>
      <c r="AW535" s="1475">
        <f t="shared" si="300"/>
        <v>0</v>
      </c>
      <c r="AX535" s="1475">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1763"/>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1764"/>
      <c r="AV536" s="1475">
        <f t="shared" si="299"/>
        <v>0</v>
      </c>
      <c r="AW536" s="1475">
        <f t="shared" si="300"/>
        <v>0</v>
      </c>
      <c r="AX536" s="1475">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1763"/>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1764"/>
      <c r="AV537" s="1475">
        <f t="shared" si="299"/>
        <v>0</v>
      </c>
      <c r="AW537" s="1475">
        <f t="shared" si="300"/>
        <v>0</v>
      </c>
      <c r="AX537" s="1475">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1763"/>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1764"/>
      <c r="AV538" s="1475">
        <f t="shared" si="299"/>
        <v>0</v>
      </c>
      <c r="AW538" s="1475">
        <f t="shared" si="300"/>
        <v>0</v>
      </c>
      <c r="AX538" s="1475">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1763"/>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1764"/>
      <c r="AV539" s="1475">
        <f t="shared" si="299"/>
        <v>0</v>
      </c>
      <c r="AW539" s="1475">
        <f t="shared" si="300"/>
        <v>0</v>
      </c>
      <c r="AX539" s="1475">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1763"/>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1764"/>
      <c r="AV540" s="1475">
        <f t="shared" si="299"/>
        <v>0</v>
      </c>
      <c r="AW540" s="1475">
        <f t="shared" si="300"/>
        <v>0</v>
      </c>
      <c r="AX540" s="1475">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1763"/>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1764"/>
      <c r="AV541" s="1475">
        <f t="shared" si="299"/>
        <v>0</v>
      </c>
      <c r="AW541" s="1475">
        <f t="shared" si="300"/>
        <v>0</v>
      </c>
      <c r="AX541" s="1475">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1763"/>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1764"/>
      <c r="AV542" s="1475">
        <f t="shared" si="299"/>
        <v>0</v>
      </c>
      <c r="AW542" s="1475">
        <f t="shared" si="300"/>
        <v>0</v>
      </c>
      <c r="AX542" s="1475">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1763"/>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1764"/>
      <c r="AV543" s="1475">
        <f t="shared" si="299"/>
        <v>0</v>
      </c>
      <c r="AW543" s="1475">
        <f t="shared" si="300"/>
        <v>0</v>
      </c>
      <c r="AX543" s="1475">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1763"/>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1764"/>
      <c r="AV544" s="1475">
        <f t="shared" si="299"/>
        <v>0</v>
      </c>
      <c r="AW544" s="1475">
        <f t="shared" si="300"/>
        <v>0</v>
      </c>
      <c r="AX544" s="1475">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1763"/>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1764"/>
      <c r="AV545" s="1475">
        <f t="shared" si="299"/>
        <v>0</v>
      </c>
      <c r="AW545" s="1475">
        <f t="shared" si="300"/>
        <v>0</v>
      </c>
      <c r="AX545" s="1475">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1763"/>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1764"/>
      <c r="AV546" s="1475">
        <f t="shared" si="299"/>
        <v>0</v>
      </c>
      <c r="AW546" s="1475">
        <f t="shared" si="300"/>
        <v>0</v>
      </c>
      <c r="AX546" s="1475">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1763"/>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1764"/>
      <c r="AV547" s="1475">
        <f t="shared" si="299"/>
        <v>0</v>
      </c>
      <c r="AW547" s="1475">
        <f t="shared" si="300"/>
        <v>0</v>
      </c>
      <c r="AX547" s="1475">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1763"/>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1764"/>
      <c r="AV548" s="1475">
        <f t="shared" si="299"/>
        <v>0</v>
      </c>
      <c r="AW548" s="1475">
        <f t="shared" si="300"/>
        <v>0</v>
      </c>
      <c r="AX548" s="1475">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1763"/>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1764"/>
      <c r="AV549" s="1475">
        <f t="shared" si="299"/>
        <v>0</v>
      </c>
      <c r="AW549" s="1475">
        <f t="shared" si="300"/>
        <v>0</v>
      </c>
      <c r="AX549" s="1475">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1763"/>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1764"/>
      <c r="AV550" s="1475">
        <f t="shared" si="299"/>
        <v>0</v>
      </c>
      <c r="AW550" s="1475">
        <f t="shared" si="300"/>
        <v>0</v>
      </c>
      <c r="AX550" s="1475">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1763"/>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1764"/>
      <c r="AV551" s="1475">
        <f t="shared" si="299"/>
        <v>0</v>
      </c>
      <c r="AW551" s="1475">
        <f t="shared" si="300"/>
        <v>0</v>
      </c>
      <c r="AX551" s="1475">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1763"/>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1764"/>
      <c r="AV552" s="1475">
        <f t="shared" si="299"/>
        <v>0</v>
      </c>
      <c r="AW552" s="1475">
        <f t="shared" si="300"/>
        <v>0</v>
      </c>
      <c r="AX552" s="1475">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1763"/>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1">A553</f>
        <v>0</v>
      </c>
      <c r="AW553" s="1475">
        <f t="shared" ref="AW553:AW587" si="332">B553</f>
        <v>0</v>
      </c>
      <c r="AX553" s="1475">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1763"/>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1764"/>
      <c r="AV554" s="1475">
        <f t="shared" si="331"/>
        <v>0</v>
      </c>
      <c r="AW554" s="1475">
        <f t="shared" si="332"/>
        <v>0</v>
      </c>
      <c r="AX554" s="1475">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1763"/>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1764"/>
      <c r="AV555" s="1475">
        <f t="shared" si="331"/>
        <v>0</v>
      </c>
      <c r="AW555" s="1475">
        <f t="shared" si="332"/>
        <v>0</v>
      </c>
      <c r="AX555" s="1475">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1763"/>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1764"/>
      <c r="AV556" s="1475">
        <f t="shared" si="331"/>
        <v>0</v>
      </c>
      <c r="AW556" s="1475">
        <f t="shared" si="332"/>
        <v>0</v>
      </c>
      <c r="AX556" s="1475">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1763"/>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1764"/>
      <c r="AV557" s="1475">
        <f t="shared" si="331"/>
        <v>0</v>
      </c>
      <c r="AW557" s="1475">
        <f t="shared" si="332"/>
        <v>0</v>
      </c>
      <c r="AX557" s="1475">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1763"/>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1764"/>
      <c r="AV558" s="1475">
        <f t="shared" si="331"/>
        <v>0</v>
      </c>
      <c r="AW558" s="1475">
        <f t="shared" si="332"/>
        <v>0</v>
      </c>
      <c r="AX558" s="1475">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1763"/>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1764"/>
      <c r="AV559" s="1475">
        <f t="shared" si="331"/>
        <v>0</v>
      </c>
      <c r="AW559" s="1475">
        <f t="shared" si="332"/>
        <v>0</v>
      </c>
      <c r="AX559" s="1475">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1763"/>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1764"/>
      <c r="AV560" s="1475">
        <f t="shared" si="331"/>
        <v>0</v>
      </c>
      <c r="AW560" s="1475">
        <f t="shared" si="332"/>
        <v>0</v>
      </c>
      <c r="AX560" s="1475">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1763"/>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1764"/>
      <c r="AV561" s="1475">
        <f t="shared" si="331"/>
        <v>0</v>
      </c>
      <c r="AW561" s="1475">
        <f t="shared" si="332"/>
        <v>0</v>
      </c>
      <c r="AX561" s="1475">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1763"/>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1764"/>
      <c r="AV562" s="1475">
        <f t="shared" si="331"/>
        <v>0</v>
      </c>
      <c r="AW562" s="1475">
        <f t="shared" si="332"/>
        <v>0</v>
      </c>
      <c r="AX562" s="1475">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1763"/>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1764"/>
      <c r="AV563" s="1475">
        <f t="shared" si="331"/>
        <v>0</v>
      </c>
      <c r="AW563" s="1475">
        <f t="shared" si="332"/>
        <v>0</v>
      </c>
      <c r="AX563" s="1475">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1763"/>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1764"/>
      <c r="AV564" s="1475">
        <f t="shared" si="331"/>
        <v>0</v>
      </c>
      <c r="AW564" s="1475">
        <f t="shared" si="332"/>
        <v>0</v>
      </c>
      <c r="AX564" s="1475">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1763"/>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1764"/>
      <c r="AV565" s="1475">
        <f t="shared" si="331"/>
        <v>0</v>
      </c>
      <c r="AW565" s="1475">
        <f t="shared" si="332"/>
        <v>0</v>
      </c>
      <c r="AX565" s="1475">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1763"/>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1764"/>
      <c r="AV566" s="1475">
        <f t="shared" si="331"/>
        <v>0</v>
      </c>
      <c r="AW566" s="1475">
        <f t="shared" si="332"/>
        <v>0</v>
      </c>
      <c r="AX566" s="1475">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1763"/>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1764"/>
      <c r="AV567" s="1475">
        <f t="shared" si="331"/>
        <v>0</v>
      </c>
      <c r="AW567" s="1475">
        <f t="shared" si="332"/>
        <v>0</v>
      </c>
      <c r="AX567" s="1475">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1763"/>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1764"/>
      <c r="AV568" s="1475">
        <f t="shared" si="331"/>
        <v>0</v>
      </c>
      <c r="AW568" s="1475">
        <f t="shared" si="332"/>
        <v>0</v>
      </c>
      <c r="AX568" s="1475">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1763"/>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1764"/>
      <c r="AV569" s="1475">
        <f t="shared" si="331"/>
        <v>0</v>
      </c>
      <c r="AW569" s="1475">
        <f t="shared" si="332"/>
        <v>0</v>
      </c>
      <c r="AX569" s="1475">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1763"/>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1764"/>
      <c r="AV570" s="1475">
        <f t="shared" si="331"/>
        <v>0</v>
      </c>
      <c r="AW570" s="1475">
        <f t="shared" si="332"/>
        <v>0</v>
      </c>
      <c r="AX570" s="1475">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1763"/>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1764"/>
      <c r="AV571" s="1475">
        <f t="shared" si="331"/>
        <v>0</v>
      </c>
      <c r="AW571" s="1475">
        <f t="shared" si="332"/>
        <v>0</v>
      </c>
      <c r="AX571" s="1475">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1763"/>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1764"/>
      <c r="AV572" s="1475">
        <f t="shared" si="331"/>
        <v>0</v>
      </c>
      <c r="AW572" s="1475">
        <f t="shared" si="332"/>
        <v>0</v>
      </c>
      <c r="AX572" s="1475">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1763"/>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1764"/>
      <c r="AV573" s="1475">
        <f t="shared" si="331"/>
        <v>0</v>
      </c>
      <c r="AW573" s="1475">
        <f t="shared" si="332"/>
        <v>0</v>
      </c>
      <c r="AX573" s="1475">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1763"/>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1764"/>
      <c r="AV574" s="1475">
        <f t="shared" si="331"/>
        <v>0</v>
      </c>
      <c r="AW574" s="1475">
        <f t="shared" si="332"/>
        <v>0</v>
      </c>
      <c r="AX574" s="1475">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1763"/>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1764"/>
      <c r="AV575" s="1475">
        <f t="shared" si="331"/>
        <v>0</v>
      </c>
      <c r="AW575" s="1475">
        <f t="shared" si="332"/>
        <v>0</v>
      </c>
      <c r="AX575" s="1475">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1763"/>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1764"/>
      <c r="AV576" s="1475">
        <f t="shared" si="331"/>
        <v>0</v>
      </c>
      <c r="AW576" s="1475">
        <f t="shared" si="332"/>
        <v>0</v>
      </c>
      <c r="AX576" s="1475">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1763"/>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1764"/>
      <c r="AV577" s="1475">
        <f t="shared" si="331"/>
        <v>0</v>
      </c>
      <c r="AW577" s="1475">
        <f t="shared" si="332"/>
        <v>0</v>
      </c>
      <c r="AX577" s="1475">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1763"/>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1764"/>
      <c r="AV578" s="1475">
        <f t="shared" si="331"/>
        <v>0</v>
      </c>
      <c r="AW578" s="1475">
        <f t="shared" si="332"/>
        <v>0</v>
      </c>
      <c r="AX578" s="1475">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1763"/>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1764"/>
      <c r="AV579" s="1475">
        <f t="shared" si="331"/>
        <v>0</v>
      </c>
      <c r="AW579" s="1475">
        <f t="shared" si="332"/>
        <v>0</v>
      </c>
      <c r="AX579" s="1475">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1763"/>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1764"/>
      <c r="AV580" s="1475">
        <f t="shared" si="331"/>
        <v>0</v>
      </c>
      <c r="AW580" s="1475">
        <f t="shared" si="332"/>
        <v>0</v>
      </c>
      <c r="AX580" s="1475">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1763"/>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1764"/>
      <c r="AV581" s="1475">
        <f t="shared" si="331"/>
        <v>0</v>
      </c>
      <c r="AW581" s="1475">
        <f t="shared" si="332"/>
        <v>0</v>
      </c>
      <c r="AX581" s="1475">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1763"/>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1764"/>
      <c r="AV582" s="1475">
        <f t="shared" si="331"/>
        <v>0</v>
      </c>
      <c r="AW582" s="1475">
        <f t="shared" si="332"/>
        <v>0</v>
      </c>
      <c r="AX582" s="1475">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1763"/>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1764"/>
      <c r="AV583" s="1475">
        <f t="shared" si="331"/>
        <v>0</v>
      </c>
      <c r="AW583" s="1475">
        <f t="shared" si="332"/>
        <v>0</v>
      </c>
      <c r="AX583" s="1475">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1763"/>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1764"/>
      <c r="AV584" s="1475">
        <f t="shared" si="331"/>
        <v>0</v>
      </c>
      <c r="AW584" s="1475">
        <f t="shared" si="332"/>
        <v>0</v>
      </c>
      <c r="AX584" s="1475">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1763"/>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1"/>
        <v>0</v>
      </c>
      <c r="AW585" s="1475">
        <f t="shared" si="332"/>
        <v>0</v>
      </c>
      <c r="AX585" s="1475">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1"/>
        <v>0</v>
      </c>
      <c r="AW586" s="1475">
        <f t="shared" si="332"/>
        <v>0</v>
      </c>
      <c r="AX586" s="1475">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1"/>
        <v>0</v>
      </c>
      <c r="AW587" s="1475">
        <f t="shared" si="332"/>
        <v>0</v>
      </c>
      <c r="AX587" s="1475">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zoomScaleSheetLayoutView="70" workbookViewId="0">
      <selection activeCell="G45" sqref="G45"/>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2"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54" t="s">
        <v>1576</v>
      </c>
      <c r="B2" s="3354"/>
      <c r="C2" s="3354"/>
      <c r="D2" s="882" t="s">
        <v>1552</v>
      </c>
      <c r="E2" s="1772" t="s">
        <v>1553</v>
      </c>
      <c r="F2" s="2832"/>
      <c r="G2" s="2823"/>
      <c r="H2" s="2824"/>
      <c r="I2" s="2495" t="s">
        <v>1577</v>
      </c>
      <c r="J2" s="2832"/>
      <c r="K2" s="2832"/>
      <c r="L2" s="2832"/>
      <c r="M2" s="2832"/>
      <c r="N2" s="2834"/>
      <c r="O2" s="2832"/>
      <c r="P2" s="2832"/>
    </row>
    <row r="3" spans="1:16" ht="15.75" thickBot="1">
      <c r="A3" s="3355" t="s">
        <v>1550</v>
      </c>
      <c r="B3" s="3355"/>
      <c r="C3" s="3355"/>
      <c r="D3" s="46">
        <f>'数据-基础表'!AY6</f>
        <v>0</v>
      </c>
      <c r="E3" s="46">
        <f>'数据-基础表'!AZ5</f>
        <v>3836.1200000000003</v>
      </c>
      <c r="F3" s="2832"/>
      <c r="G3" s="1257"/>
      <c r="H3" s="1135" t="s">
        <v>1551</v>
      </c>
      <c r="I3" s="942" t="e">
        <f>ROUND('数据-基础表'!B3/'数据-基础表'!A3,2)</f>
        <v>#DIV/0!</v>
      </c>
      <c r="J3" s="2832"/>
      <c r="K3" s="2832"/>
      <c r="L3" s="2832"/>
      <c r="M3" s="2832"/>
      <c r="N3" s="2834"/>
      <c r="O3" s="2832"/>
      <c r="P3" s="2832"/>
    </row>
    <row r="4" spans="1:16" ht="15">
      <c r="A4" s="3356"/>
      <c r="B4" s="3357"/>
      <c r="C4" s="3358"/>
      <c r="D4" s="1774" t="s">
        <v>1552</v>
      </c>
      <c r="E4" s="1775" t="s">
        <v>1553</v>
      </c>
      <c r="F4" s="2832"/>
      <c r="G4" s="2825" t="s">
        <v>1578</v>
      </c>
      <c r="H4" s="1135" t="s">
        <v>1558</v>
      </c>
      <c r="I4" s="942" t="e">
        <f>ROUND(SUMIF('数据-基础表'!I9:AS9,"地上",'数据-基础表'!I5:AS5)/'数据-基础表'!A3,2)</f>
        <v>#DIV/0!</v>
      </c>
      <c r="J4" s="2832"/>
      <c r="K4" s="2832"/>
      <c r="L4" s="2832"/>
      <c r="M4" s="2832"/>
      <c r="N4" s="2834"/>
      <c r="O4" s="2832"/>
      <c r="P4" s="2832"/>
    </row>
    <row r="5" spans="1:16">
      <c r="A5" s="47" t="s">
        <v>1554</v>
      </c>
      <c r="B5" s="3359" t="s">
        <v>1555</v>
      </c>
      <c r="C5" s="3359"/>
      <c r="D5" s="48">
        <f>ROUND($D$3*E5/$E$3,2)</f>
        <v>0</v>
      </c>
      <c r="E5" s="49">
        <f>SUMIF('数据-基础表'!$11:$11,"住宅",'数据-基础表'!$5:$5)</f>
        <v>0</v>
      </c>
      <c r="F5" s="2832"/>
      <c r="G5" s="1257"/>
      <c r="H5" s="1135" t="s">
        <v>1551</v>
      </c>
      <c r="I5" s="942" t="e">
        <f>ROUND(E31/D31,2)</f>
        <v>#DIV/0!</v>
      </c>
      <c r="J5" s="2832"/>
      <c r="K5" s="2832"/>
      <c r="L5" s="2832"/>
      <c r="M5" s="2832"/>
      <c r="N5" s="2832"/>
      <c r="O5" s="2832"/>
      <c r="P5" s="2832"/>
    </row>
    <row r="6" spans="1:16" ht="15" thickBot="1">
      <c r="A6" s="1777"/>
      <c r="B6" s="3359" t="s">
        <v>1556</v>
      </c>
      <c r="C6" s="3359"/>
      <c r="D6" s="48">
        <f>ROUND($D$3*E6/$E$3,2)</f>
        <v>0</v>
      </c>
      <c r="E6" s="49">
        <f>E3-E5</f>
        <v>3836.1200000000003</v>
      </c>
      <c r="F6" s="2832"/>
      <c r="G6" s="2826" t="s">
        <v>1557</v>
      </c>
      <c r="H6" s="1258" t="s">
        <v>1558</v>
      </c>
      <c r="I6" s="2827" t="e">
        <f>ROUND(F31/D31,2)</f>
        <v>#VALUE!</v>
      </c>
      <c r="J6" s="2832"/>
      <c r="K6" s="2832"/>
      <c r="L6" s="2832"/>
      <c r="M6" s="2832"/>
      <c r="N6" s="2832"/>
      <c r="O6" s="2832"/>
      <c r="P6" s="2832"/>
    </row>
    <row r="7" spans="1:16" ht="15.75" thickBot="1">
      <c r="A7" s="3351"/>
      <c r="B7" s="3352"/>
      <c r="C7" s="3353"/>
      <c r="D7" s="1774" t="s">
        <v>1552</v>
      </c>
      <c r="E7" s="1778"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0</v>
      </c>
      <c r="E8" s="51">
        <f>SUMIF('数据-基础表'!BB10:BK10,"地上",'数据-基础表'!BB5:BK5)</f>
        <v>0</v>
      </c>
      <c r="F8" s="2832"/>
      <c r="G8" s="2833"/>
      <c r="H8" s="2833"/>
      <c r="I8" s="2832"/>
      <c r="J8" s="2832"/>
      <c r="K8" s="2832"/>
      <c r="L8" s="2832"/>
      <c r="M8" s="2832"/>
      <c r="N8" s="2832"/>
      <c r="O8" s="2832"/>
      <c r="P8" s="2832"/>
    </row>
    <row r="9" spans="1:16">
      <c r="A9" s="1779"/>
      <c r="B9" s="1780"/>
      <c r="C9" s="48" t="s">
        <v>1564</v>
      </c>
      <c r="D9" s="48">
        <f t="shared" si="0"/>
        <v>0</v>
      </c>
      <c r="E9" s="52">
        <v>0</v>
      </c>
      <c r="F9" s="2832"/>
      <c r="G9" s="2833"/>
      <c r="H9" s="2833"/>
      <c r="I9" s="2832"/>
      <c r="J9" s="2832"/>
      <c r="K9" s="2832"/>
      <c r="L9" s="2832"/>
      <c r="M9" s="2832"/>
      <c r="N9" s="2832"/>
      <c r="O9" s="2832"/>
      <c r="P9" s="2832"/>
    </row>
    <row r="10" spans="1:16">
      <c r="A10" s="1779"/>
      <c r="B10" s="1780"/>
      <c r="C10" s="48" t="s">
        <v>1573</v>
      </c>
      <c r="D10" s="48">
        <f t="shared" si="0"/>
        <v>0</v>
      </c>
      <c r="E10" s="51">
        <f>SUMPRODUCT(('数据-基础表'!BB10:BK10="地下")*('数据-基础表'!BB11:BK11="商业")*('数据-基础表'!BB5:BK5))</f>
        <v>3836.1200000000003</v>
      </c>
      <c r="F10" s="2832"/>
      <c r="G10" s="2833"/>
      <c r="H10" s="2833"/>
      <c r="I10" s="2832"/>
      <c r="J10" s="2832"/>
      <c r="K10" s="2832"/>
      <c r="L10" s="2832"/>
      <c r="M10" s="2832"/>
      <c r="N10" s="2832"/>
      <c r="O10" s="2832"/>
      <c r="P10" s="2832"/>
    </row>
    <row r="11" spans="1:16">
      <c r="A11" s="1779"/>
      <c r="B11" s="1780"/>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79"/>
      <c r="B12" s="1780"/>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79"/>
      <c r="B13" s="1780"/>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79"/>
      <c r="B14" s="1780"/>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79"/>
      <c r="B15" s="1780"/>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7"/>
      <c r="B16" s="1780"/>
      <c r="C16" s="50" t="s">
        <v>1568</v>
      </c>
      <c r="D16" s="50">
        <f>SUM(D8:D15)</f>
        <v>0</v>
      </c>
      <c r="E16" s="53">
        <f>SUM(E8:E15)</f>
        <v>3836.1200000000003</v>
      </c>
      <c r="F16" s="2832"/>
      <c r="G16" s="2833"/>
      <c r="H16" s="1781" t="s">
        <v>1580</v>
      </c>
      <c r="I16" s="1782"/>
      <c r="J16" s="1251"/>
      <c r="K16" s="3348" t="s">
        <v>1580</v>
      </c>
      <c r="L16" s="3349"/>
      <c r="M16" s="3349"/>
      <c r="N16" s="3349"/>
      <c r="O16" s="3349"/>
      <c r="P16" s="3350"/>
    </row>
    <row r="17" spans="1:19" ht="15">
      <c r="A17" s="1783" t="s">
        <v>1581</v>
      </c>
      <c r="B17" s="1784" t="s">
        <v>1582</v>
      </c>
      <c r="C17" s="1785" t="s">
        <v>1583</v>
      </c>
      <c r="D17" s="1786" t="s">
        <v>1571</v>
      </c>
      <c r="E17" s="1787" t="s">
        <v>1572</v>
      </c>
      <c r="F17" s="1788"/>
      <c r="G17" s="1789"/>
      <c r="H17" s="1790" t="s">
        <v>1584</v>
      </c>
      <c r="I17" s="1791" t="s">
        <v>1569</v>
      </c>
      <c r="J17" s="1251"/>
      <c r="K17" s="3345" t="s">
        <v>1585</v>
      </c>
      <c r="L17" s="3346"/>
      <c r="M17" s="3347"/>
      <c r="N17" s="3345" t="s">
        <v>1586</v>
      </c>
      <c r="O17" s="3346"/>
      <c r="P17" s="3347"/>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27" t="s">
        <v>3211</v>
      </c>
      <c r="D19" s="48">
        <f>ROUND($D$3*E19/$E$3,2)</f>
        <v>0</v>
      </c>
      <c r="E19" s="56">
        <f t="shared" ref="E19:E26" si="1">SUM(F19:G19)</f>
        <v>3836.1200000000003</v>
      </c>
      <c r="F19" s="2972">
        <f>'数据-基础表'!I13</f>
        <v>3836.1200000000003</v>
      </c>
      <c r="G19" s="2973"/>
      <c r="H19" s="679">
        <f>ROUND($D$3*I19/$E$3,2)</f>
        <v>0</v>
      </c>
      <c r="I19" s="51">
        <f t="shared" ref="I19:I26" si="2">IF($I$17="自定义",P19,M19)</f>
        <v>0</v>
      </c>
      <c r="J19" s="1251"/>
      <c r="K19" s="1250">
        <f t="shared" ref="K19:K26" si="3">ROUND(E$28*E19/E$27,2)</f>
        <v>0</v>
      </c>
      <c r="L19" s="1135">
        <f t="shared" ref="L19:L26" si="4">ROUND(IF(COUNTIF(C19,"*住宅*")&gt;0,E$29*E19/E$32,0),2)</f>
        <v>0</v>
      </c>
      <c r="M19" s="1262">
        <f>K19+L19</f>
        <v>0</v>
      </c>
      <c r="N19" s="1801"/>
      <c r="O19" s="1802"/>
      <c r="P19" s="1262">
        <f>N19+O19</f>
        <v>0</v>
      </c>
      <c r="R19" s="1135">
        <f t="shared" ref="R19:S26" si="5">D19+H19</f>
        <v>0</v>
      </c>
      <c r="S19" s="1136">
        <f t="shared" si="5"/>
        <v>3836.1200000000003</v>
      </c>
    </row>
    <row r="20" spans="1:19">
      <c r="A20" s="1803"/>
      <c r="B20" s="50" t="s">
        <v>1598</v>
      </c>
      <c r="C20" s="3227"/>
      <c r="D20" s="48">
        <f t="shared" ref="D20:D26" si="6">ROUND($D$3*E20/$E$3,2)</f>
        <v>0</v>
      </c>
      <c r="E20" s="56">
        <f t="shared" si="1"/>
        <v>0</v>
      </c>
      <c r="F20" s="2972"/>
      <c r="G20" s="2973"/>
      <c r="H20" s="679">
        <f t="shared" ref="H20:H26" si="7">ROUND($D$3*I20/$E$3,2)</f>
        <v>0</v>
      </c>
      <c r="I20" s="51">
        <f t="shared" si="2"/>
        <v>0</v>
      </c>
      <c r="J20" s="1251"/>
      <c r="K20" s="1250">
        <f t="shared" si="3"/>
        <v>0</v>
      </c>
      <c r="L20" s="1135">
        <f t="shared" si="4"/>
        <v>0</v>
      </c>
      <c r="M20" s="1262">
        <f t="shared" ref="M20:M26" si="8">K20+L20</f>
        <v>0</v>
      </c>
      <c r="N20" s="1801"/>
      <c r="O20" s="1802"/>
      <c r="P20" s="1262">
        <f t="shared" ref="P20:P26" si="9">N20+O20</f>
        <v>0</v>
      </c>
      <c r="R20" s="1135">
        <f t="shared" si="5"/>
        <v>0</v>
      </c>
      <c r="S20" s="1136">
        <f t="shared" si="5"/>
        <v>0</v>
      </c>
    </row>
    <row r="21" spans="1:19">
      <c r="A21" s="1803"/>
      <c r="B21" s="50" t="s">
        <v>1598</v>
      </c>
      <c r="C21" s="3227"/>
      <c r="D21" s="48">
        <f t="shared" si="6"/>
        <v>0</v>
      </c>
      <c r="E21" s="56">
        <f t="shared" si="1"/>
        <v>0</v>
      </c>
      <c r="F21" s="2972"/>
      <c r="G21" s="2973"/>
      <c r="H21" s="679">
        <f t="shared" si="7"/>
        <v>0</v>
      </c>
      <c r="I21" s="51">
        <f t="shared" si="2"/>
        <v>0</v>
      </c>
      <c r="J21" s="1251"/>
      <c r="K21" s="1250">
        <f t="shared" si="3"/>
        <v>0</v>
      </c>
      <c r="L21" s="1135">
        <f t="shared" si="4"/>
        <v>0</v>
      </c>
      <c r="M21" s="1262">
        <f t="shared" si="8"/>
        <v>0</v>
      </c>
      <c r="N21" s="1801"/>
      <c r="O21" s="1802"/>
      <c r="P21" s="1262">
        <f t="shared" si="9"/>
        <v>0</v>
      </c>
      <c r="R21" s="1135">
        <f t="shared" si="5"/>
        <v>0</v>
      </c>
      <c r="S21" s="1136">
        <f t="shared" si="5"/>
        <v>0</v>
      </c>
    </row>
    <row r="22" spans="1:19">
      <c r="A22" s="1803"/>
      <c r="B22" s="50" t="s">
        <v>1598</v>
      </c>
      <c r="C22" s="58"/>
      <c r="D22" s="48">
        <f t="shared" si="6"/>
        <v>0</v>
      </c>
      <c r="E22" s="56">
        <f t="shared" si="1"/>
        <v>0</v>
      </c>
      <c r="F22" s="2974"/>
      <c r="G22" s="2975"/>
      <c r="H22" s="679">
        <f t="shared" si="7"/>
        <v>0</v>
      </c>
      <c r="I22" s="51">
        <f t="shared" si="2"/>
        <v>0</v>
      </c>
      <c r="J22" s="1251"/>
      <c r="K22" s="1250">
        <f t="shared" si="3"/>
        <v>0</v>
      </c>
      <c r="L22" s="1135">
        <f t="shared" si="4"/>
        <v>0</v>
      </c>
      <c r="M22" s="1262">
        <f t="shared" si="8"/>
        <v>0</v>
      </c>
      <c r="N22" s="1801"/>
      <c r="O22" s="1802"/>
      <c r="P22" s="1262">
        <f t="shared" si="9"/>
        <v>0</v>
      </c>
      <c r="R22" s="1135">
        <f t="shared" si="5"/>
        <v>0</v>
      </c>
      <c r="S22" s="1136">
        <f t="shared" si="5"/>
        <v>0</v>
      </c>
    </row>
    <row r="23" spans="1:19">
      <c r="A23" s="1803"/>
      <c r="B23" s="50" t="s">
        <v>1598</v>
      </c>
      <c r="C23" s="58"/>
      <c r="D23" s="48">
        <f>ROUND($D$3*E23/$E$3,2)</f>
        <v>0</v>
      </c>
      <c r="E23" s="56">
        <f>SUM(F23:G23)</f>
        <v>0</v>
      </c>
      <c r="F23" s="2974"/>
      <c r="G23" s="2975"/>
      <c r="H23" s="679">
        <f>ROUND($D$3*I23/$E$3,2)</f>
        <v>0</v>
      </c>
      <c r="I23" s="51">
        <f t="shared" si="2"/>
        <v>0</v>
      </c>
      <c r="J23" s="1251"/>
      <c r="K23" s="1250">
        <f t="shared" si="3"/>
        <v>0</v>
      </c>
      <c r="L23" s="1135">
        <f t="shared" si="4"/>
        <v>0</v>
      </c>
      <c r="M23" s="1262">
        <f t="shared" si="8"/>
        <v>0</v>
      </c>
      <c r="N23" s="1801"/>
      <c r="O23" s="1802"/>
      <c r="P23" s="1262">
        <f t="shared" si="9"/>
        <v>0</v>
      </c>
      <c r="R23" s="1135">
        <f t="shared" si="5"/>
        <v>0</v>
      </c>
      <c r="S23" s="1136">
        <f t="shared" si="5"/>
        <v>0</v>
      </c>
    </row>
    <row r="24" spans="1:19">
      <c r="A24" s="1803"/>
      <c r="B24" s="50" t="s">
        <v>1598</v>
      </c>
      <c r="C24" s="58"/>
      <c r="D24" s="48">
        <f>ROUND($D$3*E24/$E$3,2)</f>
        <v>0</v>
      </c>
      <c r="E24" s="56">
        <f>SUM(F24:G24)</f>
        <v>0</v>
      </c>
      <c r="F24" s="2974"/>
      <c r="G24" s="2975"/>
      <c r="H24" s="679">
        <f>ROUND($D$3*I24/$E$3,2)</f>
        <v>0</v>
      </c>
      <c r="I24" s="51">
        <f t="shared" si="2"/>
        <v>0</v>
      </c>
      <c r="J24" s="1251"/>
      <c r="K24" s="1250">
        <f t="shared" si="3"/>
        <v>0</v>
      </c>
      <c r="L24" s="1135">
        <f t="shared" si="4"/>
        <v>0</v>
      </c>
      <c r="M24" s="1262">
        <f t="shared" si="8"/>
        <v>0</v>
      </c>
      <c r="N24" s="1801"/>
      <c r="O24" s="1802"/>
      <c r="P24" s="1262">
        <f t="shared" si="9"/>
        <v>0</v>
      </c>
      <c r="R24" s="1135">
        <f t="shared" si="5"/>
        <v>0</v>
      </c>
      <c r="S24" s="1136">
        <f t="shared" si="5"/>
        <v>0</v>
      </c>
    </row>
    <row r="25" spans="1:19">
      <c r="A25" s="1803"/>
      <c r="B25" s="50" t="s">
        <v>1598</v>
      </c>
      <c r="C25" s="58"/>
      <c r="D25" s="48">
        <f t="shared" si="6"/>
        <v>0</v>
      </c>
      <c r="E25" s="56">
        <f t="shared" si="1"/>
        <v>0</v>
      </c>
      <c r="F25" s="2974"/>
      <c r="G25" s="2975"/>
      <c r="H25" s="47">
        <f t="shared" si="7"/>
        <v>0</v>
      </c>
      <c r="I25" s="51">
        <f t="shared" si="2"/>
        <v>0</v>
      </c>
      <c r="J25" s="1251"/>
      <c r="K25" s="1250">
        <f t="shared" si="3"/>
        <v>0</v>
      </c>
      <c r="L25" s="1135">
        <f t="shared" si="4"/>
        <v>0</v>
      </c>
      <c r="M25" s="1262">
        <f t="shared" si="8"/>
        <v>0</v>
      </c>
      <c r="N25" s="1801"/>
      <c r="O25" s="1802"/>
      <c r="P25" s="1262">
        <f t="shared" si="9"/>
        <v>0</v>
      </c>
      <c r="R25" s="1135">
        <f t="shared" si="5"/>
        <v>0</v>
      </c>
      <c r="S25" s="1136">
        <f t="shared" si="5"/>
        <v>0</v>
      </c>
    </row>
    <row r="26" spans="1:19">
      <c r="A26" s="1803"/>
      <c r="B26" s="50" t="s">
        <v>1598</v>
      </c>
      <c r="C26" s="59"/>
      <c r="D26" s="48">
        <f t="shared" si="6"/>
        <v>0</v>
      </c>
      <c r="E26" s="56">
        <f t="shared" si="1"/>
        <v>0</v>
      </c>
      <c r="F26" s="2974"/>
      <c r="G26" s="2975"/>
      <c r="H26" s="47">
        <f t="shared" si="7"/>
        <v>0</v>
      </c>
      <c r="I26" s="51">
        <f t="shared" si="2"/>
        <v>0</v>
      </c>
      <c r="J26" s="1251"/>
      <c r="K26" s="1257">
        <f t="shared" si="3"/>
        <v>0</v>
      </c>
      <c r="L26" s="1258">
        <f t="shared" si="4"/>
        <v>0</v>
      </c>
      <c r="M26" s="63">
        <f t="shared" si="8"/>
        <v>0</v>
      </c>
      <c r="N26" s="1804"/>
      <c r="O26" s="1805"/>
      <c r="P26" s="63">
        <f t="shared" si="9"/>
        <v>0</v>
      </c>
      <c r="R26" s="1135">
        <f t="shared" si="5"/>
        <v>0</v>
      </c>
      <c r="S26" s="1136">
        <f t="shared" si="5"/>
        <v>0</v>
      </c>
    </row>
    <row r="27" spans="1:19" ht="15.75" thickBot="1">
      <c r="A27" s="1803"/>
      <c r="B27" s="48"/>
      <c r="C27" s="1806" t="s">
        <v>1599</v>
      </c>
      <c r="D27" s="1252">
        <f>SUM(D19:D26)</f>
        <v>0</v>
      </c>
      <c r="E27" s="1253">
        <f>IF(SUM(E19:E26)='数据-基础表'!BA5,SUM(E19:E26),IF(F27="地上面积有误","面积有误","地下面积有误"))</f>
        <v>3836.1200000000003</v>
      </c>
      <c r="F27" s="1252" t="str">
        <f>IF(SUM(F19:F26)=E8,SUM(F19:F26),"地上面积有误")</f>
        <v>地上面积有误</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0</v>
      </c>
      <c r="S27" s="1135">
        <f>IF(SUM(S19:S26)=$E$3,SUM(S19:S26),SUM(S19:S26)&amp;"误差"&amp;ROUND(SUM(S19:S26)-E3,2))</f>
        <v>3836.1200000000003</v>
      </c>
    </row>
    <row r="28" spans="1:19">
      <c r="A28" s="1803"/>
      <c r="B28" s="50" t="s">
        <v>1600</v>
      </c>
      <c r="C28" s="1147"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3"/>
      <c r="B29" s="50" t="s">
        <v>1600</v>
      </c>
      <c r="C29" s="1807"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3"/>
      <c r="B30" s="50"/>
      <c r="C30" s="1808" t="s">
        <v>1599</v>
      </c>
      <c r="D30" s="1252">
        <f>SUM(D28:D29)</f>
        <v>0</v>
      </c>
      <c r="E30" s="1252">
        <f>SUM(E28:E29)</f>
        <v>0</v>
      </c>
      <c r="F30" s="1252">
        <f>SUM(F28:F29)</f>
        <v>0</v>
      </c>
      <c r="G30" s="1254">
        <f>SUM(G28:G29)</f>
        <v>0</v>
      </c>
      <c r="H30" s="2832"/>
      <c r="I30" s="2832"/>
      <c r="J30" s="2832"/>
      <c r="K30" s="2832"/>
      <c r="L30" s="2832"/>
      <c r="M30" s="2832"/>
      <c r="N30" s="2832"/>
      <c r="O30" s="2832"/>
      <c r="P30" s="2832"/>
    </row>
    <row r="31" spans="1:19" ht="15.75" thickBot="1">
      <c r="A31" s="1809"/>
      <c r="B31" s="1810"/>
      <c r="C31" s="922" t="s">
        <v>1603</v>
      </c>
      <c r="D31" s="685">
        <f>D27+D30</f>
        <v>0</v>
      </c>
      <c r="E31" s="685">
        <f>E27+E30</f>
        <v>3836.1200000000003</v>
      </c>
      <c r="F31" s="686" t="e">
        <f>F27+F30</f>
        <v>#VALUE!</v>
      </c>
      <c r="G31" s="687">
        <f>G27+G30</f>
        <v>0</v>
      </c>
      <c r="H31" s="2832"/>
      <c r="I31" s="2832"/>
      <c r="J31" s="2832"/>
      <c r="K31" s="2832"/>
      <c r="L31" s="2832"/>
      <c r="M31" s="2832"/>
      <c r="N31" s="2832"/>
      <c r="O31" s="2832"/>
      <c r="P31" s="2832"/>
    </row>
    <row r="32" spans="1:19">
      <c r="A32" s="1776"/>
      <c r="B32" s="1776" t="s">
        <v>1604</v>
      </c>
      <c r="C32" s="1776"/>
      <c r="D32" s="1776"/>
      <c r="E32" s="1162">
        <f>SUMIF(C19:C26,"*住宅*",E19:E26)</f>
        <v>0</v>
      </c>
      <c r="F32" s="1776"/>
      <c r="G32" s="1776"/>
      <c r="H32" s="2832"/>
      <c r="I32" s="2832"/>
      <c r="J32" s="2832"/>
      <c r="K32" s="2832"/>
      <c r="L32" s="2832"/>
      <c r="M32" s="2832"/>
      <c r="N32" s="2832"/>
      <c r="O32" s="2832"/>
      <c r="P32" s="2832"/>
    </row>
    <row r="33" spans="4:7">
      <c r="D33" s="1811"/>
    </row>
    <row r="40" spans="4:7">
      <c r="F40" s="1771">
        <f>F19*G40</f>
        <v>69050160</v>
      </c>
      <c r="G40" s="3269">
        <v>18000</v>
      </c>
    </row>
    <row r="41" spans="4:7">
      <c r="F41" s="1771">
        <f ca="1">结果表!G19*10000-'数据-汇总表'!F40</f>
        <v>8279840</v>
      </c>
      <c r="G41" s="3269" t="e">
        <f ca="1">F41/G27</f>
        <v>#DIV/0!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Q37" sqref="Q37"/>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4"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1605</v>
      </c>
      <c r="B1" s="688"/>
      <c r="C1" s="1303"/>
      <c r="D1" s="1813"/>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6"/>
      <c r="AO1" s="2846"/>
      <c r="AP1" s="2846"/>
      <c r="AQ1" s="2846"/>
      <c r="AR1" s="2846"/>
    </row>
    <row r="2" spans="1:67" s="1692" customFormat="1" ht="15.75" thickBot="1">
      <c r="A2" s="1816" t="s">
        <v>1606</v>
      </c>
      <c r="B2" s="1154">
        <f>项目基本情况!D3</f>
        <v>44788</v>
      </c>
      <c r="C2" s="1817"/>
      <c r="D2" s="1818"/>
      <c r="E2" s="1817"/>
      <c r="F2" s="1817"/>
      <c r="G2" s="1817"/>
      <c r="H2" s="1817"/>
      <c r="I2" s="1817"/>
      <c r="J2" s="1817"/>
      <c r="K2" s="1280"/>
      <c r="L2" s="1280"/>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8"/>
      <c r="AO2" s="2848"/>
      <c r="AP2" s="2848"/>
      <c r="AQ2" s="2848"/>
      <c r="AR2" s="2848"/>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2" customFormat="1" ht="15" thickBot="1">
      <c r="A3" s="1690"/>
      <c r="B3" s="1820"/>
      <c r="C3" s="1817"/>
      <c r="D3" s="1818"/>
      <c r="E3" s="1817"/>
      <c r="F3" s="1817"/>
      <c r="G3" s="1817"/>
      <c r="H3" s="1817"/>
      <c r="I3" s="1817"/>
      <c r="J3" s="1817"/>
      <c r="K3" s="1280"/>
      <c r="L3" s="1280"/>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8"/>
      <c r="AO3" s="2848"/>
      <c r="AP3" s="2848"/>
      <c r="AQ3" s="2848"/>
      <c r="AR3" s="2848"/>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2" customFormat="1" ht="15" thickBot="1">
      <c r="A4" s="64" t="s">
        <v>1607</v>
      </c>
      <c r="B4" s="1821"/>
      <c r="C4" s="1822"/>
      <c r="D4" s="1823"/>
      <c r="E4" s="1822" t="s">
        <v>1608</v>
      </c>
      <c r="F4" s="1822"/>
      <c r="G4" s="1822"/>
      <c r="H4" s="1822"/>
      <c r="I4" s="1822"/>
      <c r="J4" s="1824"/>
      <c r="K4" s="1825"/>
      <c r="L4" s="1826"/>
      <c r="M4" s="1822"/>
      <c r="N4" s="1822" t="s">
        <v>1609</v>
      </c>
      <c r="O4" s="1822"/>
      <c r="P4" s="1822"/>
      <c r="Q4" s="1822"/>
      <c r="R4" s="1822"/>
      <c r="S4" s="1824"/>
      <c r="T4" s="2831" t="str">
        <f>'数据-汇总表'!I17</f>
        <v>按面积比例</v>
      </c>
      <c r="U4" s="1821" t="s">
        <v>1610</v>
      </c>
      <c r="V4" s="1822"/>
      <c r="W4" s="1822"/>
      <c r="X4" s="1822"/>
      <c r="Y4" s="1824"/>
      <c r="Z4" s="1785" t="s">
        <v>1611</v>
      </c>
      <c r="AA4" s="1785"/>
      <c r="AB4" s="1785"/>
      <c r="AC4" s="1785"/>
      <c r="AD4" s="1785"/>
      <c r="AE4" s="1783" t="s">
        <v>1612</v>
      </c>
      <c r="AF4" s="1785"/>
      <c r="AG4" s="1827"/>
      <c r="AH4" s="1821"/>
      <c r="AI4" s="1822"/>
      <c r="AJ4" s="1822"/>
      <c r="AK4" s="1822"/>
      <c r="AL4" s="1822"/>
      <c r="AM4" s="1824"/>
      <c r="AN4" s="2848"/>
      <c r="AO4" s="2848"/>
      <c r="AP4" s="2848"/>
      <c r="AQ4" s="2848"/>
      <c r="AR4" s="2848"/>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3" customFormat="1" ht="42">
      <c r="A5" s="1828" t="s">
        <v>1613</v>
      </c>
      <c r="B5" s="1829" t="s">
        <v>1614</v>
      </c>
      <c r="C5" s="1830" t="s">
        <v>1615</v>
      </c>
      <c r="D5" s="1831" t="s">
        <v>1616</v>
      </c>
      <c r="E5" s="1156" t="s">
        <v>1617</v>
      </c>
      <c r="F5" s="1832" t="s">
        <v>1618</v>
      </c>
      <c r="G5" s="1156" t="s">
        <v>1619</v>
      </c>
      <c r="H5" s="1156" t="s">
        <v>1620</v>
      </c>
      <c r="I5" s="1156" t="s">
        <v>1621</v>
      </c>
      <c r="J5" s="1833" t="s">
        <v>1622</v>
      </c>
      <c r="K5" s="1834" t="s">
        <v>1623</v>
      </c>
      <c r="L5" s="1835" t="s">
        <v>1624</v>
      </c>
      <c r="M5" s="1836" t="s">
        <v>1625</v>
      </c>
      <c r="N5" s="1837" t="s">
        <v>3179</v>
      </c>
      <c r="O5" s="1835" t="s">
        <v>1626</v>
      </c>
      <c r="P5" s="1838" t="s">
        <v>1627</v>
      </c>
      <c r="Q5" s="65" t="s">
        <v>1628</v>
      </c>
      <c r="R5" s="1839" t="s">
        <v>1629</v>
      </c>
      <c r="S5" s="1840" t="s">
        <v>1630</v>
      </c>
      <c r="T5" s="1841" t="s">
        <v>1631</v>
      </c>
      <c r="U5" s="1155" t="s">
        <v>1632</v>
      </c>
      <c r="V5" s="1156" t="s">
        <v>1633</v>
      </c>
      <c r="W5" s="1156" t="s">
        <v>1634</v>
      </c>
      <c r="X5" s="67"/>
      <c r="Y5" s="66" t="s">
        <v>1635</v>
      </c>
      <c r="Z5" s="1842" t="s">
        <v>1632</v>
      </c>
      <c r="AA5" s="1156" t="s">
        <v>1633</v>
      </c>
      <c r="AB5" s="1156" t="s">
        <v>1634</v>
      </c>
      <c r="AC5" s="67"/>
      <c r="AD5" s="67" t="s">
        <v>1635</v>
      </c>
      <c r="AE5" s="1155" t="s">
        <v>1636</v>
      </c>
      <c r="AF5" s="1156" t="s">
        <v>1637</v>
      </c>
      <c r="AG5" s="66" t="s">
        <v>1638</v>
      </c>
      <c r="AH5" s="1155" t="s">
        <v>1639</v>
      </c>
      <c r="AI5" s="1842" t="s">
        <v>1640</v>
      </c>
      <c r="AJ5" s="1842" t="s">
        <v>1641</v>
      </c>
      <c r="AK5" s="1156" t="s">
        <v>1642</v>
      </c>
      <c r="AL5" s="1156" t="s">
        <v>1643</v>
      </c>
      <c r="AM5" s="66" t="s">
        <v>1644</v>
      </c>
      <c r="AN5" s="1843" t="s">
        <v>1645</v>
      </c>
      <c r="AO5" s="1695" t="s">
        <v>1646</v>
      </c>
      <c r="AP5" s="1137" t="s">
        <v>1647</v>
      </c>
      <c r="AQ5" s="1844" t="s">
        <v>1648</v>
      </c>
      <c r="AR5" s="1844"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5" t="str">
        <f>'数据-汇总表'!C19</f>
        <v>商业</v>
      </c>
      <c r="B6" s="1846" t="str">
        <f>IF(A6=0,"","经营性")</f>
        <v>经营性</v>
      </c>
      <c r="C6" s="1847" t="s">
        <v>1102</v>
      </c>
      <c r="D6" s="945">
        <f>SUMIF(项目基本情况!D$12:I$12,C6,项目基本情况!D$14:I$14)</f>
        <v>40</v>
      </c>
      <c r="E6" s="944">
        <f>IF(B6="","",SUMIF(项目基本情况!D$12:I$12,C6,项目基本情况!D$13:I$13))</f>
        <v>55208</v>
      </c>
      <c r="F6" s="68">
        <f>SUMIF(项目基本情况!D$12:I$12,C6,项目基本情况!D$15:I$15)</f>
        <v>28.54</v>
      </c>
      <c r="G6" s="69">
        <f>IF(ISERROR(ROUND(POWER(1+H6,D6-F6)*(POWER(1+H6,F6)-1)/(POWER(1+H6,D6)-1),3)),0,ROUND(POWER(1+H6,D6-F6)*(POWER(1+H6,F6)-1)/(POWER(1+H6,D6)-1),3))</f>
        <v>0.876</v>
      </c>
      <c r="H6" s="741">
        <v>0.05</v>
      </c>
      <c r="I6" s="741">
        <v>5.5E-2</v>
      </c>
      <c r="J6" s="70">
        <v>7.0000000000000007E-2</v>
      </c>
      <c r="K6" s="1139">
        <f>SUMIF('数据-汇总表'!C$19:C$33,A6,'数据-汇总表'!E$19:E$33)</f>
        <v>3836.1200000000003</v>
      </c>
      <c r="L6" s="742">
        <v>4500</v>
      </c>
      <c r="M6" s="71">
        <f t="shared" ref="M6:M14" si="0">ROUND(K6*L6/10000,0)</f>
        <v>1726</v>
      </c>
      <c r="N6" s="740">
        <f>ROUND(1-(2022-2018)/60,2)</f>
        <v>0.93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4">
        <f>ROUND($L$14*S6/10000,0)</f>
        <v>0</v>
      </c>
      <c r="U6" s="3228">
        <v>4</v>
      </c>
      <c r="V6" s="3257">
        <v>0.03</v>
      </c>
      <c r="W6" s="75">
        <v>0.1</v>
      </c>
      <c r="X6" s="1149"/>
      <c r="Y6" s="76">
        <f>N6</f>
        <v>0.93</v>
      </c>
      <c r="Z6" s="77"/>
      <c r="AA6" s="70"/>
      <c r="AB6" s="70"/>
      <c r="AC6" s="1149"/>
      <c r="AD6" s="78"/>
      <c r="AE6" s="1150">
        <f ca="1">IF(AN6="",0,SUMIF(INDIRECT("'"&amp;AN6&amp;"'"&amp;"!E:E"),$AE$5,INDIRECT("'"&amp;AN6&amp;"'"&amp;"!F:F")))</f>
        <v>28.54</v>
      </c>
      <c r="AF6" s="1480"/>
      <c r="AG6" s="143">
        <f>IF(AF6="",0,AE6-AF6)</f>
        <v>0</v>
      </c>
      <c r="AH6" s="79"/>
      <c r="AI6" s="81">
        <v>365</v>
      </c>
      <c r="AJ6" s="82"/>
      <c r="AK6" s="83">
        <v>0.01</v>
      </c>
      <c r="AL6" s="84">
        <v>1.5E-3</v>
      </c>
      <c r="AM6" s="85">
        <v>0.01</v>
      </c>
      <c r="AN6" s="1848" t="s">
        <v>3180</v>
      </c>
      <c r="AO6" s="55">
        <f ca="1">SUMIF(INDIRECT("'"&amp;AN6&amp;"'"&amp;"!A:A"),"总价",INDIRECT("'"&amp;AN6&amp;"'"&amp;"!B:B"))</f>
        <v>7806</v>
      </c>
      <c r="AP6" s="1849">
        <f>IF(C6="住宅",K6*L6,0)</f>
        <v>0</v>
      </c>
      <c r="AQ6" s="55">
        <f>ROUND($L$14*$N$14*S6/10000,0)</f>
        <v>0</v>
      </c>
      <c r="AR6" s="55">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2" customFormat="1" ht="14.25">
      <c r="A7" s="1845">
        <f>'数据-汇总表'!C20</f>
        <v>0</v>
      </c>
      <c r="B7" s="1846" t="str">
        <f t="shared" ref="B7:B13" si="1">IF(A7=0,"","经营性")</f>
        <v/>
      </c>
      <c r="C7" s="1847"/>
      <c r="D7" s="945">
        <f>SUMIF(项目基本情况!D$12:I$12,C7,项目基本情况!D$14:I$14)</f>
        <v>0</v>
      </c>
      <c r="E7" s="94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39">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4">
        <f t="shared" ref="T7:T13" si="5">ROUND($L$14*S7/10000,0)</f>
        <v>0</v>
      </c>
      <c r="U7" s="74"/>
      <c r="V7" s="75"/>
      <c r="W7" s="75"/>
      <c r="X7" s="1149"/>
      <c r="Y7" s="76"/>
      <c r="Z7" s="77"/>
      <c r="AA7" s="70"/>
      <c r="AB7" s="70"/>
      <c r="AC7" s="1149"/>
      <c r="AD7" s="78"/>
      <c r="AE7" s="1150">
        <f t="shared" ref="AE7:AE13" ca="1" si="6">IF(AN7="",0,SUMIF(INDIRECT("'"&amp;AN7&amp;"'"&amp;"!E:E"),$AE$5,INDIRECT("'"&amp;AN7&amp;"'"&amp;"!F:F")))</f>
        <v>0</v>
      </c>
      <c r="AF7" s="1480"/>
      <c r="AG7" s="143">
        <f t="shared" ref="AG7:AG13" si="7">IF(AF7="",0,AE7-AF7)</f>
        <v>0</v>
      </c>
      <c r="AH7" s="79"/>
      <c r="AI7" s="81"/>
      <c r="AJ7" s="82"/>
      <c r="AK7" s="83"/>
      <c r="AL7" s="84"/>
      <c r="AM7" s="85"/>
      <c r="AN7" s="1848"/>
      <c r="AO7" s="55" t="e">
        <f t="shared" ref="AO7:AO13" ca="1" si="8">SUMIF(INDIRECT("'"&amp;AN7&amp;"'"&amp;"!A:A"),"总价",INDIRECT("'"&amp;AN7&amp;"'"&amp;"!B:B"))</f>
        <v>#REF!</v>
      </c>
      <c r="AP7" s="1849">
        <f t="shared" ref="AP7:AP13" si="9">IF(C7="住宅",K7*L7,0)</f>
        <v>0</v>
      </c>
      <c r="AQ7" s="55">
        <f t="shared" ref="AQ7:AQ13" si="10">ROUND($L$14*$N$14*S7/10000,0)</f>
        <v>0</v>
      </c>
      <c r="AR7" s="55">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2" customFormat="1" ht="14.25">
      <c r="A8" s="1845">
        <f>'数据-汇总表'!C21</f>
        <v>0</v>
      </c>
      <c r="B8" s="1846" t="str">
        <f t="shared" si="1"/>
        <v/>
      </c>
      <c r="C8" s="1847"/>
      <c r="D8" s="945">
        <f>SUMIF(项目基本情况!D$12:I$12,C8,项目基本情况!D$14:I$14)</f>
        <v>0</v>
      </c>
      <c r="E8" s="944" t="str">
        <f>IF(B8="","",SUMIF(项目基本情况!D$12:I$12,C8,项目基本情况!D$13:I$13))</f>
        <v/>
      </c>
      <c r="F8" s="68">
        <f>SUMIF(项目基本情况!D$12:I$12,C8,项目基本情况!D$15:I$15)</f>
        <v>0</v>
      </c>
      <c r="G8" s="69">
        <f t="shared" si="2"/>
        <v>0</v>
      </c>
      <c r="H8" s="741"/>
      <c r="I8" s="741"/>
      <c r="J8" s="70"/>
      <c r="K8" s="1139">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4">
        <f t="shared" si="5"/>
        <v>0</v>
      </c>
      <c r="U8" s="744"/>
      <c r="V8" s="745"/>
      <c r="W8" s="745"/>
      <c r="X8" s="1149"/>
      <c r="Y8" s="746"/>
      <c r="Z8" s="77"/>
      <c r="AA8" s="70"/>
      <c r="AB8" s="70"/>
      <c r="AC8" s="1149"/>
      <c r="AD8" s="78"/>
      <c r="AE8" s="1150">
        <f t="shared" ca="1" si="6"/>
        <v>0</v>
      </c>
      <c r="AF8" s="1480"/>
      <c r="AG8" s="143">
        <f t="shared" si="7"/>
        <v>0</v>
      </c>
      <c r="AH8" s="747"/>
      <c r="AI8" s="81"/>
      <c r="AJ8" s="82"/>
      <c r="AK8" s="83"/>
      <c r="AL8" s="84"/>
      <c r="AM8" s="85"/>
      <c r="AN8" s="1848"/>
      <c r="AO8" s="55" t="e">
        <f t="shared" ca="1" si="8"/>
        <v>#REF!</v>
      </c>
      <c r="AP8" s="1849">
        <f t="shared" si="9"/>
        <v>0</v>
      </c>
      <c r="AQ8" s="55">
        <f t="shared" si="10"/>
        <v>0</v>
      </c>
      <c r="AR8" s="55">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2" customFormat="1" ht="14.25">
      <c r="A9" s="1845">
        <f>'数据-汇总表'!C22</f>
        <v>0</v>
      </c>
      <c r="B9" s="1846" t="str">
        <f t="shared" si="1"/>
        <v/>
      </c>
      <c r="C9" s="1847"/>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8"/>
      <c r="AO9" s="55" t="e">
        <f t="shared" ca="1" si="8"/>
        <v>#REF!</v>
      </c>
      <c r="AP9" s="1849">
        <f t="shared" si="9"/>
        <v>0</v>
      </c>
      <c r="AQ9" s="55">
        <f t="shared" si="10"/>
        <v>0</v>
      </c>
      <c r="AR9" s="55">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2" customFormat="1" ht="14.25">
      <c r="A10" s="1845">
        <f>'数据-汇总表'!C23</f>
        <v>0</v>
      </c>
      <c r="B10" s="1846" t="str">
        <f t="shared" si="1"/>
        <v/>
      </c>
      <c r="C10" s="1847"/>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8"/>
      <c r="AO10" s="55" t="e">
        <f t="shared" ca="1" si="8"/>
        <v>#REF!</v>
      </c>
      <c r="AP10" s="1849">
        <f t="shared" si="9"/>
        <v>0</v>
      </c>
      <c r="AQ10" s="55">
        <f t="shared" si="10"/>
        <v>0</v>
      </c>
      <c r="AR10" s="55">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2" customFormat="1" ht="14.25">
      <c r="A11" s="1845">
        <f>'数据-汇总表'!C24</f>
        <v>0</v>
      </c>
      <c r="B11" s="1846" t="str">
        <f t="shared" si="1"/>
        <v/>
      </c>
      <c r="C11" s="1847"/>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8"/>
      <c r="AO11" s="55" t="e">
        <f t="shared" ca="1" si="8"/>
        <v>#REF!</v>
      </c>
      <c r="AP11" s="1849">
        <f t="shared" si="9"/>
        <v>0</v>
      </c>
      <c r="AQ11" s="55">
        <f t="shared" si="10"/>
        <v>0</v>
      </c>
      <c r="AR11" s="55">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2" customFormat="1" ht="14.25">
      <c r="A12" s="1845">
        <f>'数据-汇总表'!C25</f>
        <v>0</v>
      </c>
      <c r="B12" s="1846" t="str">
        <f t="shared" si="1"/>
        <v/>
      </c>
      <c r="C12" s="1847"/>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8"/>
      <c r="AO12" s="55" t="e">
        <f t="shared" ca="1" si="8"/>
        <v>#REF!</v>
      </c>
      <c r="AP12" s="1849">
        <f t="shared" si="9"/>
        <v>0</v>
      </c>
      <c r="AQ12" s="55">
        <f t="shared" si="10"/>
        <v>0</v>
      </c>
      <c r="AR12" s="55">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2" customFormat="1" ht="14.25">
      <c r="A13" s="1845">
        <f>'数据-汇总表'!C26</f>
        <v>0</v>
      </c>
      <c r="B13" s="1846" t="str">
        <f t="shared" si="1"/>
        <v/>
      </c>
      <c r="C13" s="1847"/>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8"/>
      <c r="AO13" s="55" t="e">
        <f t="shared" ca="1" si="8"/>
        <v>#REF!</v>
      </c>
      <c r="AP13" s="1849">
        <f t="shared" si="9"/>
        <v>0</v>
      </c>
      <c r="AQ13" s="55">
        <f t="shared" si="10"/>
        <v>0</v>
      </c>
      <c r="AR13" s="55">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2" customFormat="1" ht="14.25">
      <c r="A14" s="1850" t="s">
        <v>1650</v>
      </c>
      <c r="B14" s="1846" t="s">
        <v>1651</v>
      </c>
      <c r="C14" s="1851"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9"/>
      <c r="V14" s="1144"/>
      <c r="W14" s="1144"/>
      <c r="X14" s="1145"/>
      <c r="Y14" s="1146"/>
      <c r="Z14" s="1147"/>
      <c r="AA14" s="1148"/>
      <c r="AB14" s="1148"/>
      <c r="AC14" s="1149"/>
      <c r="AD14" s="1145"/>
      <c r="AE14" s="1150"/>
      <c r="AF14" s="55"/>
      <c r="AG14" s="143"/>
      <c r="AH14" s="1150"/>
      <c r="AI14" s="1489"/>
      <c r="AJ14" s="713"/>
      <c r="AK14" s="1151"/>
      <c r="AL14" s="1152"/>
      <c r="AM14" s="1153"/>
      <c r="AN14" s="2846"/>
      <c r="AO14" s="2848"/>
      <c r="AP14" s="2848"/>
      <c r="AQ14" s="2848"/>
      <c r="AR14" s="2848"/>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2" customFormat="1" ht="27">
      <c r="A15" s="1850" t="s">
        <v>1652</v>
      </c>
      <c r="B15" s="1846" t="s">
        <v>1651</v>
      </c>
      <c r="C15" s="1851"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9"/>
      <c r="V15" s="1144"/>
      <c r="W15" s="1144"/>
      <c r="X15" s="1145"/>
      <c r="Y15" s="1146"/>
      <c r="Z15" s="1147"/>
      <c r="AA15" s="1148"/>
      <c r="AB15" s="1148"/>
      <c r="AC15" s="1149"/>
      <c r="AD15" s="1145"/>
      <c r="AE15" s="1150"/>
      <c r="AF15" s="55"/>
      <c r="AG15" s="143"/>
      <c r="AH15" s="1150"/>
      <c r="AI15" s="1489"/>
      <c r="AJ15" s="713"/>
      <c r="AK15" s="1151"/>
      <c r="AL15" s="1152"/>
      <c r="AM15" s="1153"/>
      <c r="AN15" s="2846"/>
      <c r="AO15" s="2848"/>
      <c r="AP15" s="2848"/>
      <c r="AQ15" s="2848"/>
      <c r="AR15" s="2848"/>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2" customFormat="1" ht="15.75" thickBot="1">
      <c r="A16" s="1852" t="s">
        <v>1654</v>
      </c>
      <c r="B16" s="93"/>
      <c r="C16" s="920"/>
      <c r="D16" s="1853"/>
      <c r="E16" s="93"/>
      <c r="F16" s="93"/>
      <c r="G16" s="94">
        <f>ROUND(SUMPRODUCT(G6:G13,K6:K13)/SUMPRODUCT((G6:G13&gt;0)*(K6:K13)),3)</f>
        <v>0.876</v>
      </c>
      <c r="H16" s="95">
        <f>ROUND(SUMPRODUCT(H6:H13,K6:K13)/SUMPRODUCT((H6:H13&gt;0)*(K6:K13)),3)</f>
        <v>0.05</v>
      </c>
      <c r="I16" s="96"/>
      <c r="J16" s="96"/>
      <c r="K16" s="97">
        <f>SUM(K6:K15)</f>
        <v>3836.1200000000003</v>
      </c>
      <c r="L16" s="98">
        <f>ROUND(M16*10000/SUM(K6:K14),0)</f>
        <v>4499</v>
      </c>
      <c r="M16" s="98">
        <f>SUM(M6:M14)</f>
        <v>1726</v>
      </c>
      <c r="N16" s="99">
        <f>ROUND(SUMPRODUCT(M6:M14,N6:N14)/M16,3)</f>
        <v>0.93</v>
      </c>
      <c r="O16" s="98">
        <f>SUM(O6:O14)</f>
        <v>0</v>
      </c>
      <c r="P16" s="98">
        <f>SUM(P6:P14)</f>
        <v>0</v>
      </c>
      <c r="Q16" s="100">
        <f>ROUND(SUMPRODUCT(Q6:Q13,K6:K13)/SUMPRODUCT((Q6:Q13&gt;0)*(K6:K13)),2)</f>
        <v>0.2</v>
      </c>
      <c r="R16" s="114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1655</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5" t="s">
        <v>1656</v>
      </c>
      <c r="B19" s="108">
        <v>0</v>
      </c>
      <c r="C19" s="2976" t="s">
        <v>2805</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6" t="s">
        <v>1657</v>
      </c>
      <c r="B20" s="109">
        <v>2</v>
      </c>
      <c r="C20" s="2977" t="s">
        <v>2803</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7" t="s">
        <v>1658</v>
      </c>
      <c r="B21" s="109">
        <v>2</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6" t="s">
        <v>1659</v>
      </c>
      <c r="B22" s="110">
        <f>B19+B20</f>
        <v>2</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7" t="s">
        <v>1660</v>
      </c>
      <c r="B23" s="110">
        <f>B19+B21</f>
        <v>2</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58" t="s">
        <v>1661</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0"/>
      <c r="B25" s="1820"/>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6" t="s">
        <v>1662</v>
      </c>
      <c r="B26" s="1859"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1" customFormat="1" ht="27.75">
      <c r="A27" s="1860" t="s">
        <v>1665</v>
      </c>
      <c r="B27" s="112">
        <v>160</v>
      </c>
      <c r="C27" s="2978" t="s">
        <v>2807</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1666</v>
      </c>
      <c r="B28" s="115">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1667</v>
      </c>
      <c r="B29" s="117">
        <f>ROUND(B28*K16/10000,)</f>
        <v>77</v>
      </c>
      <c r="C29" s="2979" t="s">
        <v>2794</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1668</v>
      </c>
      <c r="B30" s="680">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1669</v>
      </c>
      <c r="B31" s="116">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1670</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1671</v>
      </c>
      <c r="B33" s="682">
        <v>0.05</v>
      </c>
      <c r="C33" s="2980" t="s">
        <v>2795</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1672</v>
      </c>
      <c r="B34" s="118">
        <v>0</v>
      </c>
      <c r="C34" s="2980" t="s">
        <v>2796</v>
      </c>
      <c r="D34" s="2859" t="s">
        <v>2804</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1673</v>
      </c>
      <c r="B35" s="115">
        <v>200</v>
      </c>
      <c r="C35" s="2980" t="s">
        <v>2797</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1674</v>
      </c>
      <c r="B36" s="119">
        <v>1.4999999999999999E-2</v>
      </c>
      <c r="C36" s="2980" t="s">
        <v>2798</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4" t="s">
        <v>1675</v>
      </c>
      <c r="B37" s="120">
        <v>0.02</v>
      </c>
      <c r="C37" s="2980" t="s">
        <v>2799</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2" t="s">
        <v>1676</v>
      </c>
      <c r="B38" s="118">
        <v>0.02</v>
      </c>
      <c r="C38" s="2980" t="s">
        <v>2799</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5" t="s">
        <v>1677</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3181</v>
      </c>
      <c r="B40" s="1188">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0" t="s">
        <v>1678</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6" t="s">
        <v>1679</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6" t="s">
        <v>1680</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7" t="s">
        <v>1681</v>
      </c>
      <c r="B44" s="124">
        <v>0.05</v>
      </c>
      <c r="C44" s="2980" t="s">
        <v>2808</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7" t="s">
        <v>1682</v>
      </c>
      <c r="B45" s="122">
        <v>0.03</v>
      </c>
      <c r="C45" s="2979" t="s">
        <v>2800</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7" t="s">
        <v>1683</v>
      </c>
      <c r="B46" s="122">
        <v>0.02</v>
      </c>
      <c r="C46" s="2979" t="s">
        <v>2801</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68" t="s">
        <v>1684</v>
      </c>
      <c r="B47" s="125"/>
      <c r="C47" s="2982" t="s">
        <v>2809</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69" t="s">
        <v>1685</v>
      </c>
      <c r="B48" s="126">
        <v>0.03</v>
      </c>
      <c r="C48" s="2979" t="s">
        <v>2800</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5" t="s">
        <v>1686</v>
      </c>
      <c r="B49" s="122">
        <v>5.0000000000000001E-4</v>
      </c>
      <c r="C49" s="2979" t="s">
        <v>2802</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0" t="s">
        <v>1687</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3" t="s">
        <v>1688</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0" t="s">
        <v>1689</v>
      </c>
      <c r="B52" s="129">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2" t="s">
        <v>1690</v>
      </c>
      <c r="B53" s="1871" t="s">
        <v>56</v>
      </c>
      <c r="C53" s="2834" t="s">
        <v>1691</v>
      </c>
      <c r="D53" s="2981" t="s">
        <v>2806</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2" t="s">
        <v>1692</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2" t="s">
        <v>1693</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2" t="s">
        <v>1694</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2" t="s">
        <v>1695</v>
      </c>
      <c r="B57" s="80"/>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2" t="s">
        <v>1696</v>
      </c>
      <c r="B58" s="80">
        <v>3</v>
      </c>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2" t="s">
        <v>1697</v>
      </c>
      <c r="B59" s="80">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2" t="s">
        <v>1698</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2" t="s">
        <v>1699</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2" t="s">
        <v>1700</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3" t="s">
        <v>1701</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79"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79"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79"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79"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79"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79" customFormat="1">
      <c r="A69" s="1874"/>
      <c r="D69" s="1875"/>
      <c r="K69" s="737"/>
      <c r="L69" s="737"/>
    </row>
    <row r="70" spans="1:44" s="879" customFormat="1">
      <c r="A70" s="1874"/>
      <c r="D70" s="1875"/>
      <c r="K70" s="737"/>
      <c r="L70" s="737"/>
    </row>
    <row r="71" spans="1:44" s="879" customFormat="1">
      <c r="A71" s="1874"/>
      <c r="D71" s="1875"/>
      <c r="K71" s="737"/>
      <c r="L71" s="737"/>
    </row>
    <row r="72" spans="1:44" s="879" customFormat="1">
      <c r="A72" s="1874"/>
      <c r="D72" s="1875"/>
      <c r="K72" s="737"/>
      <c r="L72" s="737"/>
    </row>
    <row r="73" spans="1:44" s="879" customFormat="1">
      <c r="A73" s="1874"/>
      <c r="D73" s="1875"/>
      <c r="K73" s="737"/>
      <c r="L73" s="737"/>
    </row>
    <row r="74" spans="1:44" s="879" customFormat="1">
      <c r="A74" s="1874"/>
      <c r="D74" s="1875"/>
      <c r="K74" s="737"/>
      <c r="L74" s="737"/>
    </row>
    <row r="75" spans="1:44" s="879" customFormat="1">
      <c r="A75" s="1874"/>
      <c r="D75" s="1875"/>
      <c r="K75" s="737"/>
      <c r="L75" s="737"/>
    </row>
    <row r="76" spans="1:44" s="879" customFormat="1">
      <c r="A76" s="1874"/>
      <c r="D76" s="1875"/>
      <c r="K76" s="737"/>
      <c r="L76" s="737"/>
    </row>
    <row r="77" spans="1:44" s="879" customFormat="1">
      <c r="A77" s="1874"/>
      <c r="D77" s="1875"/>
      <c r="K77" s="737"/>
      <c r="L77" s="737"/>
    </row>
    <row r="78" spans="1:44" s="879" customFormat="1">
      <c r="A78" s="1874"/>
      <c r="D78" s="1875"/>
      <c r="K78" s="737"/>
      <c r="L78" s="737"/>
    </row>
    <row r="79" spans="1:44" s="879" customFormat="1">
      <c r="A79" s="1874"/>
      <c r="D79" s="1875"/>
      <c r="K79" s="737"/>
      <c r="L79" s="737"/>
    </row>
    <row r="80" spans="1:44" s="879" customFormat="1">
      <c r="A80" s="1874"/>
      <c r="D80" s="1875"/>
      <c r="K80" s="737"/>
      <c r="L80" s="737"/>
    </row>
    <row r="81" spans="1:12" s="879" customFormat="1">
      <c r="A81" s="1874"/>
      <c r="D81" s="1875"/>
      <c r="K81" s="737"/>
      <c r="L81" s="737"/>
    </row>
    <row r="82" spans="1:12" s="879" customFormat="1">
      <c r="A82" s="1874"/>
      <c r="D82" s="1875"/>
      <c r="K82" s="737"/>
      <c r="L82" s="737"/>
    </row>
    <row r="83" spans="1:12" s="879" customFormat="1">
      <c r="A83" s="1874"/>
      <c r="D83" s="1875"/>
      <c r="K83" s="737"/>
      <c r="L83" s="737"/>
    </row>
    <row r="84" spans="1:12" s="879" customFormat="1">
      <c r="A84" s="1874"/>
      <c r="D84" s="1875"/>
      <c r="K84" s="737"/>
      <c r="L84" s="737"/>
    </row>
    <row r="85" spans="1:12" s="879" customFormat="1">
      <c r="A85" s="1874"/>
      <c r="D85" s="1875"/>
      <c r="K85" s="737"/>
      <c r="L85" s="737"/>
    </row>
    <row r="86" spans="1:12" s="879" customFormat="1">
      <c r="A86" s="1874"/>
      <c r="D86" s="1875"/>
      <c r="K86" s="737"/>
      <c r="L86" s="737"/>
    </row>
    <row r="87" spans="1:12" s="879" customFormat="1">
      <c r="A87" s="1874"/>
      <c r="D87" s="1875"/>
      <c r="K87" s="737"/>
      <c r="L87" s="737"/>
    </row>
    <row r="88" spans="1:12" s="879" customFormat="1">
      <c r="A88" s="1874"/>
      <c r="D88" s="1875"/>
      <c r="K88" s="737"/>
      <c r="L88" s="737"/>
    </row>
    <row r="89" spans="1:12" s="879" customFormat="1">
      <c r="A89" s="1874"/>
      <c r="D89" s="1875"/>
      <c r="K89" s="737"/>
      <c r="L89" s="737"/>
    </row>
    <row r="90" spans="1:12" s="879" customFormat="1">
      <c r="A90" s="1874"/>
      <c r="D90" s="1875"/>
      <c r="K90" s="737"/>
      <c r="L90" s="737"/>
    </row>
    <row r="91" spans="1:12" s="879" customFormat="1">
      <c r="A91" s="1874"/>
      <c r="D91" s="1875"/>
      <c r="K91" s="737"/>
      <c r="L91" s="737"/>
    </row>
    <row r="92" spans="1:12" s="879" customFormat="1">
      <c r="A92" s="1874"/>
      <c r="D92" s="1875"/>
      <c r="K92" s="737"/>
      <c r="L92" s="737"/>
    </row>
    <row r="93" spans="1:12" s="879" customFormat="1">
      <c r="A93" s="1874"/>
      <c r="D93" s="1875"/>
      <c r="K93" s="737"/>
      <c r="L93" s="737"/>
    </row>
    <row r="94" spans="1:12" s="879" customFormat="1">
      <c r="A94" s="1874"/>
      <c r="D94" s="1875"/>
      <c r="K94" s="737"/>
      <c r="L94" s="737"/>
    </row>
    <row r="95" spans="1:12" s="879" customFormat="1">
      <c r="A95" s="1874"/>
      <c r="D95" s="1875"/>
      <c r="K95" s="737"/>
      <c r="L95" s="737"/>
    </row>
    <row r="96" spans="1:12" s="879" customFormat="1">
      <c r="A96" s="1874"/>
      <c r="D96" s="1875"/>
      <c r="K96" s="737"/>
      <c r="L96" s="737"/>
    </row>
    <row r="97" spans="1:12" s="879" customFormat="1">
      <c r="A97" s="1874"/>
      <c r="D97" s="1875"/>
      <c r="K97" s="737"/>
      <c r="L97" s="737"/>
    </row>
    <row r="98" spans="1:12" s="879" customFormat="1">
      <c r="A98" s="1874"/>
      <c r="D98" s="1875"/>
      <c r="K98" s="737"/>
      <c r="L98" s="737"/>
    </row>
    <row r="99" spans="1:12" s="879" customFormat="1">
      <c r="A99" s="1874"/>
      <c r="D99" s="1875"/>
      <c r="K99" s="737"/>
      <c r="L99" s="737"/>
    </row>
    <row r="100" spans="1:12" s="879" customFormat="1">
      <c r="A100" s="1874"/>
      <c r="D100" s="1875"/>
      <c r="K100" s="737"/>
      <c r="L100" s="737"/>
    </row>
    <row r="101" spans="1:12" s="879" customFormat="1">
      <c r="A101" s="1874"/>
      <c r="D101" s="1875"/>
      <c r="K101" s="737"/>
      <c r="L101" s="737"/>
    </row>
    <row r="102" spans="1:12" s="879" customFormat="1">
      <c r="A102" s="1874"/>
      <c r="D102" s="1875"/>
      <c r="K102" s="737"/>
      <c r="L102" s="737"/>
    </row>
    <row r="103" spans="1:12" s="879" customFormat="1">
      <c r="A103" s="1874"/>
      <c r="D103" s="1875"/>
      <c r="K103" s="737"/>
      <c r="L103" s="737"/>
    </row>
    <row r="104" spans="1:12" s="879" customFormat="1">
      <c r="A104" s="1874"/>
      <c r="D104" s="1875"/>
      <c r="K104" s="737"/>
      <c r="L104" s="737"/>
    </row>
    <row r="105" spans="1:12" s="879" customFormat="1">
      <c r="A105" s="1874"/>
      <c r="D105" s="1875"/>
      <c r="K105" s="737"/>
      <c r="L105" s="737"/>
    </row>
    <row r="106" spans="1:12" s="879" customFormat="1">
      <c r="A106" s="1874"/>
      <c r="D106" s="1875"/>
      <c r="K106" s="737"/>
      <c r="L106" s="737"/>
    </row>
    <row r="107" spans="1:12" s="879" customFormat="1">
      <c r="A107" s="1874"/>
      <c r="D107" s="1875"/>
      <c r="K107" s="737"/>
      <c r="L107" s="737"/>
    </row>
    <row r="108" spans="1:12" s="879" customFormat="1">
      <c r="A108" s="1874"/>
      <c r="D108" s="1875"/>
      <c r="K108" s="737"/>
      <c r="L108" s="737"/>
    </row>
    <row r="109" spans="1:12" s="879" customFormat="1">
      <c r="A109" s="1874"/>
      <c r="D109" s="1875"/>
      <c r="K109" s="737"/>
      <c r="L109" s="737"/>
    </row>
    <row r="110" spans="1:12" s="879" customFormat="1">
      <c r="A110" s="1874"/>
      <c r="D110" s="1875"/>
      <c r="K110" s="737"/>
      <c r="L110" s="737"/>
    </row>
    <row r="111" spans="1:12" s="879" customFormat="1">
      <c r="A111" s="1874"/>
      <c r="D111" s="1875"/>
      <c r="K111" s="737"/>
      <c r="L111" s="737"/>
    </row>
    <row r="112" spans="1:12" s="879" customFormat="1">
      <c r="A112" s="1874"/>
      <c r="D112" s="1875"/>
      <c r="K112" s="737"/>
      <c r="L112" s="737"/>
    </row>
    <row r="113" spans="1:12" s="879" customFormat="1">
      <c r="A113" s="1874"/>
      <c r="D113" s="1875"/>
      <c r="K113" s="737"/>
      <c r="L113" s="737"/>
    </row>
    <row r="114" spans="1:12" s="879" customFormat="1">
      <c r="A114" s="1874"/>
      <c r="D114" s="1875"/>
      <c r="K114" s="737"/>
      <c r="L114" s="737"/>
    </row>
    <row r="115" spans="1:12" s="879" customFormat="1">
      <c r="A115" s="1874"/>
      <c r="D115" s="1875"/>
      <c r="K115" s="737"/>
      <c r="L115" s="737"/>
    </row>
    <row r="116" spans="1:12" s="879" customFormat="1">
      <c r="A116" s="1874"/>
      <c r="D116" s="1875"/>
      <c r="K116" s="737"/>
      <c r="L116" s="737"/>
    </row>
    <row r="117" spans="1:12" s="879" customFormat="1">
      <c r="A117" s="1874"/>
      <c r="D117" s="1875"/>
      <c r="K117" s="737"/>
      <c r="L117" s="737"/>
    </row>
    <row r="118" spans="1:12" s="879" customFormat="1">
      <c r="A118" s="1874"/>
      <c r="D118" s="1875"/>
      <c r="K118" s="737"/>
      <c r="L118" s="737"/>
    </row>
    <row r="119" spans="1:12" s="879" customFormat="1">
      <c r="A119" s="1874"/>
      <c r="D119" s="1875"/>
      <c r="K119" s="737"/>
      <c r="L119" s="737"/>
    </row>
    <row r="120" spans="1:12" s="879" customFormat="1">
      <c r="A120" s="1874"/>
      <c r="D120" s="1875"/>
      <c r="K120" s="737"/>
      <c r="L120" s="737"/>
    </row>
    <row r="121" spans="1:12" s="879" customFormat="1">
      <c r="A121" s="1874"/>
      <c r="D121" s="1875"/>
      <c r="K121" s="737"/>
      <c r="L121" s="737"/>
    </row>
    <row r="122" spans="1:12" s="879" customFormat="1">
      <c r="A122" s="1874"/>
      <c r="D122" s="1875"/>
      <c r="K122" s="737"/>
      <c r="L122" s="737"/>
    </row>
    <row r="123" spans="1:12" s="879" customFormat="1">
      <c r="A123" s="1874"/>
      <c r="D123" s="1875"/>
      <c r="K123" s="737"/>
      <c r="L123" s="737"/>
    </row>
    <row r="124" spans="1:12" s="879" customFormat="1">
      <c r="A124" s="1874"/>
      <c r="D124" s="1875"/>
      <c r="K124" s="737"/>
      <c r="L124" s="737"/>
    </row>
    <row r="125" spans="1:12" s="879" customFormat="1">
      <c r="A125" s="1874"/>
      <c r="D125" s="1875"/>
      <c r="K125" s="737"/>
      <c r="L125" s="737"/>
    </row>
    <row r="126" spans="1:12" s="879" customFormat="1">
      <c r="A126" s="1874"/>
      <c r="D126" s="1875"/>
      <c r="K126" s="737"/>
      <c r="L126" s="737"/>
    </row>
    <row r="127" spans="1:12" s="879" customFormat="1">
      <c r="A127" s="1874"/>
      <c r="D127" s="1875"/>
      <c r="K127" s="737"/>
      <c r="L127" s="737"/>
    </row>
    <row r="128" spans="1:12" s="879" customFormat="1">
      <c r="A128" s="1874"/>
      <c r="D128" s="1875"/>
      <c r="K128" s="737"/>
      <c r="L128" s="737"/>
    </row>
    <row r="129" spans="1:12" s="879" customFormat="1">
      <c r="A129" s="1874"/>
      <c r="D129" s="1875"/>
      <c r="K129" s="737"/>
      <c r="L129" s="737"/>
    </row>
    <row r="130" spans="1:12" s="879" customFormat="1">
      <c r="A130" s="1874"/>
      <c r="D130" s="1875"/>
      <c r="K130" s="737"/>
      <c r="L130" s="737"/>
    </row>
    <row r="131" spans="1:12" s="879" customFormat="1">
      <c r="A131" s="1874"/>
      <c r="D131" s="1875"/>
      <c r="K131" s="737"/>
      <c r="L131" s="737"/>
    </row>
    <row r="132" spans="1:12" s="879" customFormat="1">
      <c r="A132" s="1874"/>
      <c r="D132" s="1875"/>
      <c r="K132" s="737"/>
      <c r="L132" s="737"/>
    </row>
    <row r="133" spans="1:12" s="879" customFormat="1">
      <c r="A133" s="1874"/>
      <c r="D133" s="1875"/>
      <c r="K133" s="737"/>
      <c r="L133" s="737"/>
    </row>
    <row r="134" spans="1:12" s="1814" customFormat="1">
      <c r="A134" s="1876"/>
      <c r="D134" s="1877"/>
      <c r="K134" s="27"/>
      <c r="L134" s="27"/>
    </row>
    <row r="135" spans="1:12" s="1814" customFormat="1">
      <c r="A135" s="1876"/>
      <c r="D135" s="1877"/>
      <c r="K135" s="27"/>
      <c r="L135" s="27"/>
    </row>
    <row r="136" spans="1:12" s="1814" customFormat="1">
      <c r="A136" s="1876"/>
      <c r="D136" s="1877"/>
      <c r="K136" s="27"/>
      <c r="L136" s="27"/>
    </row>
    <row r="137" spans="1:12" s="1814" customFormat="1">
      <c r="A137" s="1876"/>
      <c r="D137" s="1877"/>
      <c r="K137" s="27"/>
      <c r="L137" s="27"/>
    </row>
    <row r="138" spans="1:12" s="1814" customFormat="1">
      <c r="A138" s="1876"/>
      <c r="D138" s="1877"/>
      <c r="K138" s="27"/>
      <c r="L138" s="27"/>
    </row>
    <row r="139" spans="1:12" s="1814" customFormat="1">
      <c r="A139" s="1876"/>
      <c r="D139" s="1877"/>
      <c r="K139" s="27"/>
      <c r="L139" s="27"/>
    </row>
    <row r="140" spans="1:12" s="1814" customFormat="1">
      <c r="A140" s="1876"/>
      <c r="D140" s="1877"/>
      <c r="K140" s="27"/>
      <c r="L140" s="27"/>
    </row>
    <row r="141" spans="1:12" s="1814" customFormat="1">
      <c r="A141" s="1876"/>
      <c r="D141" s="1877"/>
      <c r="K141" s="27"/>
      <c r="L141" s="27"/>
    </row>
    <row r="142" spans="1:12" s="1814" customFormat="1">
      <c r="A142" s="1876"/>
      <c r="D142" s="1877"/>
      <c r="K142" s="27"/>
      <c r="L142" s="27"/>
    </row>
    <row r="143" spans="1:12" s="1814" customFormat="1">
      <c r="A143" s="1876"/>
      <c r="D143" s="1877"/>
      <c r="K143" s="27"/>
      <c r="L143" s="27"/>
    </row>
    <row r="144" spans="1:12" s="1814" customFormat="1">
      <c r="A144" s="1876"/>
      <c r="D144" s="1877"/>
      <c r="K144" s="27"/>
      <c r="L144" s="27"/>
    </row>
    <row r="145" spans="1:12" s="1814" customFormat="1">
      <c r="A145" s="1876"/>
      <c r="D145" s="1877"/>
      <c r="K145" s="27"/>
      <c r="L145" s="27"/>
    </row>
    <row r="146" spans="1:12" s="1814" customFormat="1">
      <c r="A146" s="1876"/>
      <c r="D146" s="1877"/>
      <c r="K146" s="27"/>
      <c r="L146" s="27"/>
    </row>
    <row r="147" spans="1:12" s="1814" customFormat="1">
      <c r="A147" s="1876"/>
      <c r="D147" s="1877"/>
      <c r="K147" s="27"/>
      <c r="L147" s="27"/>
    </row>
    <row r="148" spans="1:12" s="1814" customFormat="1">
      <c r="A148" s="1876"/>
      <c r="D148" s="1877"/>
      <c r="K148" s="27"/>
      <c r="L148" s="27"/>
    </row>
    <row r="149" spans="1:12" s="1814" customFormat="1">
      <c r="A149" s="1876"/>
      <c r="D149" s="1877"/>
      <c r="K149" s="27"/>
      <c r="L149" s="27"/>
    </row>
    <row r="150" spans="1:12" s="1814" customFormat="1">
      <c r="A150" s="1876"/>
      <c r="D150" s="1877"/>
      <c r="K150" s="27"/>
      <c r="L150" s="27"/>
    </row>
    <row r="151" spans="1:12" s="1814" customFormat="1">
      <c r="A151" s="1876"/>
      <c r="D151" s="1877"/>
      <c r="K151" s="27"/>
      <c r="L151" s="27"/>
    </row>
    <row r="152" spans="1:12" s="1814" customFormat="1">
      <c r="A152" s="1876"/>
      <c r="D152" s="1877"/>
      <c r="K152" s="27"/>
      <c r="L152" s="27"/>
    </row>
    <row r="153" spans="1:12" s="1814" customFormat="1">
      <c r="A153" s="1876"/>
      <c r="D153" s="1877"/>
      <c r="K153" s="27"/>
      <c r="L153" s="27"/>
    </row>
    <row r="154" spans="1:12" s="1814" customFormat="1">
      <c r="A154" s="1876"/>
      <c r="D154" s="1877"/>
      <c r="K154" s="27"/>
      <c r="L154" s="27"/>
    </row>
    <row r="155" spans="1:12" s="1814" customFormat="1">
      <c r="A155" s="1876"/>
      <c r="D155" s="1877"/>
      <c r="K155" s="27"/>
      <c r="L155" s="27"/>
    </row>
    <row r="156" spans="1:12" s="1814" customFormat="1">
      <c r="A156" s="1876"/>
      <c r="D156" s="1877"/>
      <c r="K156" s="27"/>
      <c r="L156" s="27"/>
    </row>
    <row r="157" spans="1:12" s="1814" customFormat="1">
      <c r="A157" s="1876"/>
      <c r="D157" s="1877"/>
      <c r="K157" s="27"/>
      <c r="L157" s="27"/>
    </row>
    <row r="158" spans="1:12" s="1814" customFormat="1">
      <c r="A158" s="1876"/>
      <c r="D158" s="1877"/>
      <c r="K158" s="27"/>
      <c r="L158" s="27"/>
    </row>
    <row r="159" spans="1:12" s="1814" customFormat="1">
      <c r="A159" s="1876"/>
      <c r="D159" s="1877"/>
      <c r="K159" s="27"/>
      <c r="L159" s="27"/>
    </row>
    <row r="160" spans="1:12" s="1814" customFormat="1">
      <c r="A160" s="1876"/>
      <c r="D160" s="1877"/>
      <c r="K160" s="27"/>
      <c r="L160" s="27"/>
    </row>
    <row r="161" spans="1:12" s="1814" customFormat="1">
      <c r="A161" s="1876"/>
      <c r="D161" s="1877"/>
      <c r="K161" s="27"/>
      <c r="L161" s="27"/>
    </row>
    <row r="162" spans="1:12" s="1814" customFormat="1">
      <c r="A162" s="1876"/>
      <c r="D162" s="1877"/>
      <c r="K162" s="27"/>
      <c r="L162" s="27"/>
    </row>
    <row r="163" spans="1:12" s="1814" customFormat="1">
      <c r="A163" s="1876"/>
      <c r="D163" s="1877"/>
      <c r="K163" s="27"/>
      <c r="L163" s="27"/>
    </row>
    <row r="164" spans="1:12" s="1814" customFormat="1">
      <c r="A164" s="1876"/>
      <c r="D164" s="1877"/>
      <c r="K164" s="27"/>
      <c r="L164" s="27"/>
    </row>
    <row r="165" spans="1:12" s="1814" customFormat="1">
      <c r="A165" s="1876"/>
      <c r="D165" s="1877"/>
      <c r="K165" s="27"/>
      <c r="L165" s="27"/>
    </row>
    <row r="166" spans="1:12" s="1814" customFormat="1">
      <c r="A166" s="1876"/>
      <c r="D166" s="1877"/>
      <c r="K166" s="27"/>
      <c r="L166" s="27"/>
    </row>
    <row r="167" spans="1:12" s="1814" customFormat="1">
      <c r="A167" s="1876"/>
      <c r="D167" s="1877"/>
      <c r="K167" s="27"/>
      <c r="L167" s="27"/>
    </row>
    <row r="168" spans="1:12" s="1814" customFormat="1">
      <c r="A168" s="1876"/>
      <c r="D168" s="1877"/>
      <c r="K168" s="27"/>
      <c r="L168" s="27"/>
    </row>
    <row r="169" spans="1:12" s="1814" customFormat="1">
      <c r="A169" s="1876"/>
      <c r="D169" s="1877"/>
      <c r="K169" s="27"/>
      <c r="L169" s="27"/>
    </row>
    <row r="170" spans="1:12" s="1814" customFormat="1">
      <c r="A170" s="1876"/>
      <c r="D170" s="1877"/>
      <c r="K170" s="27"/>
      <c r="L170" s="27"/>
    </row>
    <row r="171" spans="1:12" s="1814" customFormat="1">
      <c r="A171" s="1876"/>
      <c r="D171" s="1877"/>
      <c r="K171" s="27"/>
      <c r="L171" s="27"/>
    </row>
    <row r="172" spans="1:12" s="1814" customFormat="1">
      <c r="A172" s="1876"/>
      <c r="D172" s="1877"/>
      <c r="K172" s="27"/>
      <c r="L172" s="27"/>
    </row>
    <row r="173" spans="1:12" s="1814" customFormat="1">
      <c r="A173" s="1876"/>
      <c r="D173" s="1877"/>
      <c r="K173" s="27"/>
      <c r="L173" s="27"/>
    </row>
    <row r="174" spans="1:12" s="1814"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9" customWidth="1"/>
    <col min="2" max="2" width="24.5" style="1705" customWidth="1"/>
    <col min="3" max="3" width="24.5" style="2682" customWidth="1"/>
    <col min="4" max="4" width="2.625" style="2682" customWidth="1"/>
    <col min="5" max="5" width="5.875" style="2682" customWidth="1"/>
    <col min="6" max="6" width="27" style="1705"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5"/>
    <col min="30" max="16384" width="9" style="1819"/>
  </cols>
  <sheetData>
    <row r="1" spans="1:29" s="2629" customFormat="1" ht="18.75" thickBot="1">
      <c r="A1" s="3360" t="s">
        <v>2786</v>
      </c>
      <c r="B1" s="3361"/>
      <c r="C1" s="3361"/>
      <c r="D1" s="3361"/>
      <c r="E1" s="3361"/>
      <c r="F1" s="3361"/>
      <c r="G1" s="3361"/>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2781</v>
      </c>
      <c r="D2" s="2633"/>
      <c r="E2" s="2630"/>
      <c r="F2" s="2634"/>
      <c r="G2" s="2632" t="s">
        <v>2782</v>
      </c>
      <c r="H2" s="885"/>
      <c r="I2" s="885"/>
      <c r="J2" s="885"/>
      <c r="K2" s="885"/>
      <c r="L2" s="885"/>
      <c r="M2" s="885"/>
      <c r="N2" s="885"/>
      <c r="O2" s="885"/>
      <c r="P2" s="885"/>
      <c r="Q2" s="885"/>
      <c r="R2" s="885"/>
    </row>
    <row r="3" spans="1:29" ht="48">
      <c r="A3" s="2613" t="s">
        <v>2783</v>
      </c>
      <c r="B3" s="2635" t="s">
        <v>2752</v>
      </c>
      <c r="C3" s="2636" t="s">
        <v>2784</v>
      </c>
      <c r="D3" s="2637"/>
      <c r="E3" s="2614" t="s">
        <v>2783</v>
      </c>
      <c r="F3" s="2638" t="s">
        <v>2753</v>
      </c>
      <c r="G3" s="2639" t="s">
        <v>2785</v>
      </c>
      <c r="H3" s="885"/>
      <c r="I3" s="885"/>
      <c r="J3" s="885"/>
      <c r="K3" s="885"/>
      <c r="L3" s="885"/>
      <c r="M3" s="885"/>
      <c r="N3" s="885"/>
      <c r="O3" s="885"/>
      <c r="P3" s="885"/>
      <c r="Q3" s="885"/>
      <c r="R3" s="885"/>
    </row>
    <row r="4" spans="1:29" ht="36.75">
      <c r="A4" s="2614"/>
      <c r="B4" s="329" t="s">
        <v>2754</v>
      </c>
      <c r="C4" s="2640" t="s">
        <v>2755</v>
      </c>
      <c r="D4" s="2637"/>
      <c r="E4" s="2641"/>
      <c r="F4" s="1505" t="s">
        <v>2756</v>
      </c>
      <c r="G4" s="2642" t="s">
        <v>2757</v>
      </c>
      <c r="H4" s="885"/>
      <c r="I4" s="885"/>
      <c r="J4" s="885"/>
      <c r="K4" s="885"/>
      <c r="L4" s="885"/>
      <c r="M4" s="885"/>
      <c r="N4" s="885"/>
      <c r="O4" s="885"/>
      <c r="P4" s="885"/>
      <c r="Q4" s="885"/>
      <c r="R4" s="885"/>
    </row>
    <row r="5" spans="1:29" ht="36.75">
      <c r="A5" s="2614"/>
      <c r="B5" s="329" t="s">
        <v>2758</v>
      </c>
      <c r="C5" s="2640" t="s">
        <v>2759</v>
      </c>
      <c r="D5" s="2637"/>
      <c r="E5" s="2641"/>
      <c r="F5" s="329" t="s">
        <v>2760</v>
      </c>
      <c r="G5" s="2642" t="s">
        <v>2761</v>
      </c>
      <c r="H5" s="885"/>
      <c r="I5" s="885"/>
      <c r="J5" s="885"/>
      <c r="K5" s="885"/>
      <c r="L5" s="885"/>
      <c r="M5" s="885"/>
      <c r="N5" s="885"/>
      <c r="O5" s="885"/>
      <c r="P5" s="885"/>
      <c r="Q5" s="885"/>
      <c r="R5" s="885"/>
    </row>
    <row r="6" spans="1:29" ht="36">
      <c r="A6" s="2614"/>
      <c r="B6" s="329" t="s">
        <v>2762</v>
      </c>
      <c r="C6" s="2642" t="s">
        <v>2757</v>
      </c>
      <c r="D6" s="2637"/>
      <c r="E6" s="2641"/>
      <c r="F6" s="329" t="s">
        <v>2763</v>
      </c>
      <c r="G6" s="2642" t="s">
        <v>2764</v>
      </c>
      <c r="H6" s="885"/>
      <c r="I6" s="885"/>
      <c r="J6" s="885"/>
      <c r="K6" s="885"/>
      <c r="L6" s="885"/>
      <c r="M6" s="885"/>
      <c r="N6" s="885"/>
      <c r="O6" s="885"/>
      <c r="P6" s="885"/>
      <c r="Q6" s="885"/>
      <c r="R6" s="885"/>
    </row>
    <row r="7" spans="1:29" ht="24.75" thickBot="1">
      <c r="A7" s="2614"/>
      <c r="B7" s="329" t="s">
        <v>2760</v>
      </c>
      <c r="C7" s="2642" t="s">
        <v>2761</v>
      </c>
      <c r="D7" s="2643"/>
      <c r="E7" s="2644"/>
      <c r="F7" s="2645" t="s">
        <v>2765</v>
      </c>
      <c r="G7" s="2646" t="s">
        <v>2766</v>
      </c>
      <c r="H7" s="885"/>
      <c r="I7" s="885"/>
      <c r="J7" s="885"/>
      <c r="K7" s="885"/>
      <c r="L7" s="885"/>
      <c r="M7" s="885"/>
      <c r="N7" s="885"/>
      <c r="O7" s="885"/>
      <c r="P7" s="885"/>
      <c r="Q7" s="885"/>
      <c r="R7" s="885"/>
    </row>
    <row r="8" spans="1:29">
      <c r="A8" s="2614"/>
      <c r="B8" s="329" t="s">
        <v>2763</v>
      </c>
      <c r="C8" s="2642" t="s">
        <v>2764</v>
      </c>
      <c r="D8" s="2643"/>
      <c r="E8" s="2643"/>
      <c r="F8" s="2647"/>
      <c r="G8" s="2647"/>
      <c r="H8" s="885"/>
      <c r="I8" s="885"/>
      <c r="J8" s="885"/>
      <c r="K8" s="885"/>
      <c r="L8" s="885"/>
      <c r="M8" s="885"/>
      <c r="N8" s="885"/>
      <c r="O8" s="885"/>
      <c r="P8" s="885"/>
      <c r="Q8" s="885"/>
      <c r="R8" s="885"/>
    </row>
    <row r="9" spans="1:29" ht="24">
      <c r="A9" s="2614"/>
      <c r="B9" s="329" t="s">
        <v>2767</v>
      </c>
      <c r="C9" s="2640" t="s">
        <v>2768</v>
      </c>
      <c r="D9" s="2637"/>
      <c r="E9" s="2643"/>
      <c r="F9" s="2647"/>
      <c r="G9" s="2647"/>
      <c r="H9" s="885"/>
      <c r="I9" s="885"/>
      <c r="J9" s="885"/>
      <c r="K9" s="885"/>
      <c r="L9" s="885"/>
      <c r="M9" s="885"/>
      <c r="N9" s="885"/>
      <c r="O9" s="885"/>
      <c r="P9" s="885"/>
      <c r="Q9" s="885"/>
      <c r="R9" s="885"/>
    </row>
    <row r="10" spans="1:29" s="2653" customFormat="1" ht="15" thickBot="1">
      <c r="A10" s="2615"/>
      <c r="B10" s="2648" t="s">
        <v>2769</v>
      </c>
      <c r="C10" s="2649"/>
      <c r="D10" s="2637"/>
      <c r="E10" s="2637"/>
      <c r="F10" s="2647"/>
      <c r="G10" s="2647"/>
      <c r="H10" s="2650"/>
      <c r="I10" s="2651"/>
      <c r="J10" s="2652"/>
      <c r="K10" s="2650"/>
      <c r="L10" s="2651"/>
      <c r="M10" s="2652"/>
      <c r="N10" s="2650"/>
      <c r="O10" s="2651"/>
      <c r="P10" s="2652"/>
      <c r="Q10" s="2650"/>
      <c r="R10" s="2651"/>
      <c r="S10" s="885"/>
      <c r="T10" s="885"/>
      <c r="U10" s="885"/>
      <c r="V10" s="885"/>
      <c r="W10" s="885"/>
      <c r="X10" s="885"/>
      <c r="Y10" s="885"/>
      <c r="Z10" s="885"/>
      <c r="AA10" s="885"/>
      <c r="AB10" s="885"/>
      <c r="AC10" s="885"/>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5"/>
      <c r="T11" s="885"/>
      <c r="U11" s="885"/>
      <c r="V11" s="885"/>
      <c r="W11" s="885"/>
      <c r="X11" s="885"/>
      <c r="Y11" s="885"/>
      <c r="Z11" s="885"/>
      <c r="AA11" s="885"/>
      <c r="AB11" s="885"/>
      <c r="AC11" s="885"/>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2787</v>
      </c>
      <c r="B13" s="2656"/>
      <c r="C13" s="2656"/>
      <c r="D13" s="2654"/>
      <c r="E13" s="2656"/>
      <c r="F13" s="2656"/>
      <c r="G13" s="2656"/>
    </row>
    <row r="14" spans="1:29" ht="15" thickBot="1">
      <c r="A14" s="2666"/>
      <c r="B14" s="2666"/>
      <c r="C14" s="2667" t="s">
        <v>2770</v>
      </c>
      <c r="D14" s="2637"/>
      <c r="E14" s="2668"/>
      <c r="F14" s="2668"/>
      <c r="G14" s="2632" t="s">
        <v>2771</v>
      </c>
    </row>
    <row r="15" spans="1:29" ht="51">
      <c r="A15" s="2616" t="s">
        <v>2772</v>
      </c>
      <c r="B15" s="2669" t="s">
        <v>2752</v>
      </c>
      <c r="C15" s="2670" t="str">
        <f>C3</f>
        <v>估价对象周边居住用地比例、居住小区规模和社区发展完善程度，综合评价居住社区成熟度一般</v>
      </c>
      <c r="D15" s="2637"/>
      <c r="E15" s="2617" t="s">
        <v>2773</v>
      </c>
      <c r="F15" s="2669" t="s">
        <v>2774</v>
      </c>
      <c r="G15" s="2671" t="str">
        <f>G3</f>
        <v>估价对象位于XX开发区，园区建设成熟度XX，产业集聚程度XX</v>
      </c>
    </row>
    <row r="16" spans="1:29" ht="38.25">
      <c r="A16" s="2618"/>
      <c r="B16" s="2672" t="s">
        <v>2754</v>
      </c>
      <c r="C16" s="2673" t="str">
        <f>C4</f>
        <v>估价对象位于XX商圈，周边商业氛围成熟，人流量大，商业繁华度好</v>
      </c>
      <c r="D16" s="2637"/>
      <c r="E16" s="2619"/>
      <c r="F16" s="2674" t="s">
        <v>2756</v>
      </c>
      <c r="G16" s="2675" t="str">
        <f>G4</f>
        <v>估价对象周边道路状况、公共交通通达情况、停车便捷程度，综合评价交通便捷度较好</v>
      </c>
    </row>
    <row r="17" spans="1:18" ht="38.25">
      <c r="A17" s="2618"/>
      <c r="B17" s="2672" t="s">
        <v>2758</v>
      </c>
      <c r="C17" s="2673" t="str">
        <f>C5</f>
        <v>估价对象位于XX商圈，周边办公楼项目较多，入驻率高，办公集聚程度较好</v>
      </c>
      <c r="D17" s="2643"/>
      <c r="E17" s="2619"/>
      <c r="F17" s="2674" t="s">
        <v>2775</v>
      </c>
      <c r="G17" s="2676"/>
    </row>
    <row r="18" spans="1:18" ht="38.25">
      <c r="A18" s="2618"/>
      <c r="B18" s="2674" t="s">
        <v>2762</v>
      </c>
      <c r="C18" s="2675" t="str">
        <f>C6</f>
        <v>估价对象周边道路状况、公共交通通达情况、停车便捷程度，综合评价交通便捷度较好</v>
      </c>
      <c r="D18" s="2643"/>
      <c r="E18" s="2619"/>
      <c r="F18" s="2674" t="s">
        <v>2765</v>
      </c>
      <c r="G18" s="2675" t="str">
        <f>G7</f>
        <v>该园区内是否有污染型企业，绿化情况，卫生条件，整体环境状况判断</v>
      </c>
    </row>
    <row r="19" spans="1:18" ht="25.5">
      <c r="A19" s="2618"/>
      <c r="B19" s="2674" t="s">
        <v>2776</v>
      </c>
      <c r="C19" s="2676"/>
      <c r="D19" s="2637"/>
      <c r="E19" s="2619"/>
      <c r="F19" s="329" t="s">
        <v>2760</v>
      </c>
      <c r="G19" s="2675" t="str">
        <f>G5</f>
        <v>估价对象所在区域公共配套设施齐备情况</v>
      </c>
    </row>
    <row r="20" spans="1:18" ht="25.5">
      <c r="A20" s="2618"/>
      <c r="B20" s="2674" t="s">
        <v>2777</v>
      </c>
      <c r="C20" s="2673" t="str">
        <f>C9</f>
        <v>区域自然环境：；人文环境；综合评价环境状况一般</v>
      </c>
      <c r="D20" s="2643"/>
      <c r="E20" s="2619"/>
      <c r="F20" s="329" t="s">
        <v>2763</v>
      </c>
      <c r="G20" s="2675" t="str">
        <f>G6</f>
        <v>估价对象所在区域基础设施水平</v>
      </c>
    </row>
    <row r="21" spans="1:18" ht="25.5">
      <c r="A21" s="2618"/>
      <c r="B21" s="329" t="s">
        <v>2760</v>
      </c>
      <c r="C21" s="2675" t="str">
        <f>C7</f>
        <v>估价对象所在区域公共配套设施齐备情况</v>
      </c>
      <c r="D21" s="2637"/>
      <c r="E21" s="2619"/>
      <c r="F21" s="2674" t="s">
        <v>2778</v>
      </c>
      <c r="G21" s="2677"/>
    </row>
    <row r="22" spans="1:18" ht="13.5" customHeight="1">
      <c r="A22" s="2618"/>
      <c r="B22" s="329" t="s">
        <v>2763</v>
      </c>
      <c r="C22" s="2675" t="str">
        <f>C8</f>
        <v>估价对象所在区域基础设施水平</v>
      </c>
      <c r="D22" s="2637"/>
      <c r="E22" s="2619"/>
      <c r="F22" s="2674" t="s">
        <v>2769</v>
      </c>
      <c r="G22" s="2676"/>
    </row>
    <row r="23" spans="1:18" s="885" customFormat="1" ht="15" thickBot="1">
      <c r="A23" s="2618"/>
      <c r="B23" s="2674" t="s">
        <v>2778</v>
      </c>
      <c r="C23" s="2677"/>
      <c r="D23" s="1874"/>
      <c r="E23" s="2620"/>
      <c r="F23" s="2678" t="s">
        <v>2779</v>
      </c>
      <c r="G23" s="2679"/>
      <c r="H23" s="2663"/>
      <c r="I23" s="2664"/>
      <c r="J23" s="2663"/>
      <c r="K23" s="2663"/>
      <c r="L23" s="2664"/>
      <c r="M23" s="2663"/>
      <c r="N23" s="2663"/>
      <c r="O23" s="2664"/>
      <c r="P23" s="2663"/>
      <c r="Q23" s="2663"/>
      <c r="R23" s="2665"/>
    </row>
    <row r="24" spans="1:18" s="885" customFormat="1" ht="15" thickBot="1">
      <c r="A24" s="2621"/>
      <c r="B24" s="2678" t="s">
        <v>2780</v>
      </c>
      <c r="C24" s="2680">
        <f>C10</f>
        <v>0</v>
      </c>
      <c r="D24" s="1874"/>
      <c r="E24" s="2611"/>
      <c r="F24" s="2611"/>
      <c r="G24" s="2681"/>
      <c r="H24" s="2663"/>
      <c r="I24" s="2664"/>
      <c r="J24" s="2663"/>
      <c r="K24" s="2663"/>
      <c r="L24" s="2664"/>
      <c r="M24" s="2663"/>
      <c r="N24" s="2663"/>
      <c r="O24" s="2664"/>
      <c r="P24" s="2663"/>
      <c r="Q24" s="2663"/>
      <c r="R24" s="2665"/>
    </row>
    <row r="25" spans="1:18" s="885" customFormat="1">
      <c r="B25" s="2663"/>
      <c r="C25" s="2663"/>
      <c r="D25" s="2663"/>
      <c r="H25" s="2663"/>
      <c r="I25" s="2664"/>
      <c r="J25" s="2663"/>
      <c r="K25" s="2663"/>
      <c r="L25" s="2664"/>
      <c r="M25" s="2663"/>
      <c r="N25" s="2663"/>
      <c r="O25" s="2664"/>
      <c r="P25" s="2663"/>
      <c r="Q25" s="2663"/>
      <c r="R25" s="2665"/>
    </row>
    <row r="26" spans="1:18" s="885" customFormat="1">
      <c r="B26" s="2663"/>
      <c r="C26" s="2663"/>
      <c r="D26" s="2663"/>
      <c r="H26" s="2663"/>
      <c r="I26" s="2664"/>
      <c r="J26" s="2663"/>
      <c r="K26" s="2663"/>
      <c r="L26" s="2664"/>
      <c r="M26" s="2663"/>
      <c r="N26" s="2663"/>
      <c r="O26" s="2664"/>
      <c r="P26" s="2663"/>
      <c r="Q26" s="2663"/>
      <c r="R26" s="2665"/>
    </row>
    <row r="27" spans="1:18" s="885" customFormat="1">
      <c r="B27" s="2663"/>
      <c r="C27" s="2663"/>
      <c r="D27" s="2663"/>
      <c r="H27" s="2663"/>
      <c r="I27" s="2664"/>
      <c r="J27" s="2663"/>
      <c r="K27" s="2663"/>
      <c r="L27" s="2664"/>
      <c r="M27" s="2663"/>
      <c r="N27" s="2663"/>
      <c r="O27" s="2664"/>
      <c r="P27" s="2663"/>
      <c r="Q27" s="2663"/>
      <c r="R27" s="2665"/>
    </row>
    <row r="28" spans="1:18" s="885" customFormat="1">
      <c r="B28" s="2663"/>
      <c r="C28" s="2663"/>
      <c r="D28" s="2663"/>
      <c r="H28" s="2663"/>
      <c r="I28" s="2664"/>
      <c r="J28" s="2663"/>
      <c r="K28" s="2663"/>
      <c r="L28" s="2664"/>
      <c r="M28" s="2663"/>
      <c r="N28" s="2663"/>
      <c r="O28" s="2664"/>
      <c r="P28" s="2663"/>
      <c r="Q28" s="2663"/>
      <c r="R28" s="2665"/>
    </row>
    <row r="29" spans="1:18" s="885" customFormat="1">
      <c r="B29" s="2663"/>
      <c r="C29" s="2663"/>
      <c r="D29" s="2663"/>
      <c r="H29" s="2663"/>
      <c r="I29" s="2664"/>
      <c r="J29" s="2663"/>
      <c r="K29" s="2663"/>
      <c r="L29" s="2664"/>
      <c r="M29" s="2663"/>
      <c r="N29" s="2663"/>
      <c r="O29" s="2664"/>
      <c r="P29" s="2663"/>
      <c r="Q29" s="2663"/>
      <c r="R29" s="2665"/>
    </row>
    <row r="30" spans="1:18" s="885" customFormat="1">
      <c r="B30" s="2663"/>
      <c r="C30" s="2663"/>
      <c r="D30" s="2663"/>
      <c r="H30" s="2663"/>
      <c r="I30" s="2664"/>
      <c r="J30" s="2663"/>
      <c r="K30" s="2663"/>
      <c r="L30" s="2664"/>
      <c r="M30" s="2663"/>
      <c r="N30" s="2663"/>
      <c r="O30" s="2664"/>
      <c r="P30" s="2663"/>
      <c r="Q30" s="2663"/>
      <c r="R30" s="2665"/>
    </row>
    <row r="31" spans="1:18" s="885" customFormat="1">
      <c r="B31" s="2663"/>
      <c r="C31" s="2663"/>
      <c r="D31" s="2663"/>
      <c r="H31" s="2663"/>
      <c r="I31" s="2664"/>
      <c r="J31" s="2663"/>
      <c r="K31" s="2663"/>
      <c r="L31" s="2664"/>
      <c r="M31" s="2663"/>
      <c r="N31" s="2663"/>
      <c r="O31" s="2664"/>
      <c r="P31" s="2663"/>
      <c r="Q31" s="2663"/>
      <c r="R31" s="2665"/>
    </row>
    <row r="32" spans="1:18" s="885" customFormat="1">
      <c r="B32" s="2663"/>
      <c r="C32" s="2663"/>
      <c r="D32" s="2663"/>
      <c r="H32" s="2663"/>
      <c r="I32" s="2664"/>
      <c r="J32" s="2663"/>
      <c r="K32" s="2663"/>
      <c r="L32" s="2664"/>
      <c r="M32" s="2663"/>
      <c r="N32" s="2663"/>
      <c r="O32" s="2664"/>
      <c r="P32" s="2663"/>
      <c r="Q32" s="2663"/>
      <c r="R32" s="2665"/>
    </row>
    <row r="33" spans="2:18" s="885" customFormat="1">
      <c r="B33" s="2663"/>
      <c r="C33" s="2663"/>
      <c r="D33" s="2663"/>
      <c r="H33" s="2663"/>
      <c r="I33" s="2664"/>
      <c r="J33" s="2663"/>
      <c r="K33" s="2663"/>
      <c r="L33" s="2664"/>
      <c r="M33" s="2663"/>
      <c r="N33" s="2663"/>
      <c r="O33" s="2664"/>
      <c r="P33" s="2663"/>
      <c r="Q33" s="2663"/>
      <c r="R33" s="2665"/>
    </row>
    <row r="34" spans="2:18" s="885" customFormat="1">
      <c r="B34" s="2663"/>
      <c r="C34" s="2663"/>
      <c r="D34" s="2663"/>
      <c r="H34" s="2663"/>
      <c r="I34" s="2664"/>
      <c r="J34" s="2663"/>
      <c r="K34" s="2663"/>
      <c r="L34" s="2664"/>
      <c r="M34" s="2663"/>
      <c r="N34" s="2663"/>
      <c r="O34" s="2664"/>
      <c r="P34" s="2663"/>
      <c r="Q34" s="2663"/>
      <c r="R34" s="2665"/>
    </row>
    <row r="35" spans="2:18" s="885" customFormat="1">
      <c r="B35" s="2663"/>
      <c r="C35" s="2663"/>
      <c r="D35" s="2663"/>
      <c r="H35" s="2663"/>
      <c r="I35" s="2664"/>
      <c r="J35" s="2663"/>
      <c r="K35" s="2663"/>
      <c r="L35" s="2664"/>
      <c r="M35" s="2663"/>
      <c r="N35" s="2663"/>
      <c r="O35" s="2664"/>
      <c r="P35" s="2663"/>
      <c r="Q35" s="2663"/>
      <c r="R35" s="2665"/>
    </row>
    <row r="36" spans="2:18" s="885" customFormat="1">
      <c r="B36" s="2663"/>
      <c r="C36" s="2663"/>
      <c r="D36" s="2663"/>
      <c r="H36" s="2663"/>
      <c r="I36" s="2664"/>
      <c r="J36" s="2663"/>
      <c r="K36" s="2663"/>
      <c r="L36" s="2664"/>
      <c r="M36" s="2663"/>
      <c r="N36" s="2663"/>
      <c r="O36" s="2664"/>
      <c r="P36" s="2663"/>
      <c r="Q36" s="2663"/>
      <c r="R36" s="2665"/>
    </row>
    <row r="37" spans="2:18" s="885" customFormat="1">
      <c r="B37" s="2663"/>
      <c r="C37" s="2663"/>
      <c r="D37" s="2663"/>
      <c r="H37" s="2663"/>
      <c r="I37" s="2664"/>
      <c r="J37" s="2663"/>
      <c r="K37" s="2663"/>
      <c r="L37" s="2664"/>
      <c r="M37" s="2663"/>
      <c r="N37" s="2663"/>
      <c r="O37" s="2664"/>
      <c r="P37" s="2663"/>
      <c r="Q37" s="2663"/>
      <c r="R37" s="2665"/>
    </row>
    <row r="38" spans="2:18" s="885" customFormat="1">
      <c r="B38" s="2663"/>
      <c r="C38" s="2663"/>
      <c r="D38" s="2663"/>
      <c r="E38" s="2663"/>
      <c r="F38" s="2663"/>
      <c r="G38" s="2664"/>
      <c r="H38" s="2663"/>
      <c r="I38" s="2664"/>
      <c r="J38" s="2663"/>
      <c r="K38" s="2663"/>
      <c r="L38" s="2664"/>
      <c r="M38" s="2663"/>
      <c r="N38" s="2663"/>
      <c r="O38" s="2664"/>
      <c r="P38" s="2663"/>
      <c r="Q38" s="2663"/>
      <c r="R38" s="2665"/>
    </row>
    <row r="39" spans="2:18" s="885" customFormat="1">
      <c r="B39" s="2663"/>
      <c r="C39" s="2663"/>
      <c r="D39" s="2663"/>
      <c r="E39" s="2663"/>
      <c r="F39" s="2663"/>
      <c r="G39" s="2664"/>
      <c r="H39" s="2663"/>
      <c r="I39" s="2664"/>
      <c r="J39" s="2663"/>
      <c r="K39" s="2663"/>
      <c r="L39" s="2664"/>
      <c r="M39" s="2663"/>
      <c r="N39" s="2663"/>
      <c r="O39" s="2664"/>
      <c r="P39" s="2663"/>
      <c r="Q39" s="2663"/>
      <c r="R39" s="2665"/>
    </row>
    <row r="40" spans="2:18" s="885" customFormat="1">
      <c r="B40" s="2663"/>
      <c r="C40" s="2663"/>
      <c r="D40" s="2663"/>
      <c r="E40" s="2663"/>
      <c r="F40" s="2663"/>
      <c r="G40" s="2664"/>
      <c r="H40" s="2663"/>
      <c r="I40" s="2664"/>
      <c r="J40" s="2663"/>
      <c r="K40" s="2663"/>
      <c r="L40" s="2664"/>
      <c r="M40" s="2663"/>
      <c r="N40" s="2663"/>
      <c r="O40" s="2664"/>
      <c r="P40" s="2663"/>
      <c r="Q40" s="2663"/>
      <c r="R40" s="2665"/>
    </row>
    <row r="41" spans="2:18" s="885" customFormat="1">
      <c r="B41" s="2663"/>
      <c r="C41" s="2663"/>
      <c r="D41" s="2663"/>
      <c r="E41" s="2663"/>
      <c r="F41" s="2663"/>
      <c r="G41" s="2664"/>
      <c r="H41" s="2663"/>
      <c r="I41" s="2664"/>
      <c r="J41" s="2663"/>
      <c r="K41" s="2663"/>
      <c r="L41" s="2664"/>
      <c r="M41" s="2663"/>
      <c r="N41" s="2663"/>
      <c r="O41" s="2664"/>
      <c r="P41" s="2663"/>
      <c r="Q41" s="2663"/>
      <c r="R41" s="2665"/>
    </row>
    <row r="42" spans="2:18" s="885" customFormat="1">
      <c r="B42" s="2663"/>
      <c r="C42" s="2663"/>
      <c r="D42" s="2663"/>
      <c r="E42" s="2663"/>
      <c r="F42" s="2663"/>
      <c r="G42" s="2664"/>
      <c r="H42" s="2663"/>
      <c r="I42" s="2664"/>
      <c r="J42" s="2663"/>
      <c r="K42" s="2663"/>
      <c r="L42" s="2664"/>
      <c r="M42" s="2663"/>
      <c r="N42" s="2663"/>
      <c r="O42" s="2664"/>
      <c r="P42" s="2663"/>
      <c r="Q42" s="2663"/>
      <c r="R42" s="2665"/>
    </row>
    <row r="43" spans="2:18" s="885" customFormat="1">
      <c r="B43" s="2663"/>
      <c r="C43" s="2663"/>
      <c r="D43" s="2663"/>
      <c r="E43" s="2663"/>
      <c r="F43" s="2663"/>
      <c r="G43" s="2664"/>
      <c r="H43" s="2663"/>
      <c r="I43" s="2664"/>
      <c r="J43" s="2663"/>
      <c r="K43" s="2663"/>
      <c r="L43" s="2664"/>
      <c r="M43" s="2663"/>
      <c r="N43" s="2663"/>
      <c r="O43" s="2664"/>
      <c r="P43" s="2663"/>
      <c r="Q43" s="2663"/>
      <c r="R43" s="2665"/>
    </row>
    <row r="44" spans="2:18" s="885" customFormat="1">
      <c r="B44" s="2663"/>
      <c r="C44" s="2663"/>
      <c r="D44" s="2663"/>
      <c r="E44" s="2663"/>
      <c r="F44" s="2663"/>
      <c r="G44" s="2664"/>
      <c r="H44" s="2663"/>
      <c r="I44" s="2664"/>
      <c r="J44" s="2663"/>
      <c r="K44" s="2663"/>
      <c r="L44" s="2664"/>
      <c r="M44" s="2663"/>
      <c r="N44" s="2663"/>
      <c r="O44" s="2664"/>
      <c r="P44" s="2663"/>
      <c r="Q44" s="2663"/>
      <c r="R44" s="2665"/>
    </row>
    <row r="45" spans="2:18" s="885" customFormat="1">
      <c r="B45" s="2663"/>
      <c r="C45" s="2663"/>
      <c r="D45" s="2663"/>
      <c r="E45" s="2663"/>
      <c r="F45" s="2663"/>
      <c r="G45" s="2664"/>
      <c r="H45" s="2663"/>
      <c r="I45" s="2664"/>
      <c r="J45" s="2663"/>
      <c r="K45" s="2663"/>
      <c r="L45" s="2664"/>
      <c r="M45" s="2663"/>
      <c r="N45" s="2663"/>
      <c r="O45" s="2664"/>
      <c r="P45" s="2663"/>
      <c r="Q45" s="2663"/>
      <c r="R45" s="2665"/>
    </row>
    <row r="46" spans="2:18" s="885" customFormat="1">
      <c r="B46" s="2663"/>
      <c r="C46" s="2663"/>
      <c r="D46" s="2663"/>
      <c r="E46" s="2663"/>
      <c r="F46" s="2663"/>
      <c r="G46" s="2664"/>
      <c r="H46" s="2663"/>
      <c r="I46" s="2664"/>
      <c r="J46" s="2663"/>
      <c r="K46" s="2663"/>
      <c r="L46" s="2664"/>
      <c r="M46" s="2663"/>
      <c r="N46" s="2663"/>
      <c r="O46" s="2664"/>
      <c r="P46" s="2663"/>
      <c r="Q46" s="2663"/>
      <c r="R46" s="2665"/>
    </row>
    <row r="47" spans="2:18" s="885" customFormat="1">
      <c r="B47" s="2663"/>
      <c r="C47" s="2663"/>
      <c r="D47" s="2663"/>
      <c r="E47" s="2663"/>
      <c r="F47" s="2663"/>
      <c r="G47" s="2664"/>
      <c r="H47" s="2663"/>
      <c r="I47" s="2664"/>
      <c r="J47" s="2663"/>
      <c r="K47" s="2663"/>
      <c r="L47" s="2664"/>
      <c r="M47" s="2663"/>
      <c r="N47" s="2663"/>
      <c r="O47" s="2664"/>
      <c r="P47" s="2663"/>
      <c r="Q47" s="2663"/>
      <c r="R47" s="2665"/>
    </row>
    <row r="48" spans="2:18" s="885" customFormat="1">
      <c r="B48" s="2663"/>
      <c r="C48" s="2663"/>
      <c r="D48" s="2663"/>
      <c r="E48" s="2663"/>
      <c r="F48" s="2663"/>
      <c r="G48" s="2664"/>
      <c r="H48" s="2663"/>
      <c r="I48" s="2664"/>
      <c r="J48" s="2663"/>
      <c r="K48" s="2663"/>
      <c r="L48" s="2664"/>
      <c r="M48" s="2663"/>
      <c r="N48" s="2663"/>
      <c r="O48" s="2664"/>
      <c r="P48" s="2663"/>
      <c r="Q48" s="2663"/>
      <c r="R48" s="2665"/>
    </row>
    <row r="49" spans="2:18" s="885" customFormat="1">
      <c r="B49" s="2663"/>
      <c r="C49" s="2663"/>
      <c r="D49" s="2663"/>
      <c r="E49" s="2663"/>
      <c r="F49" s="2663"/>
      <c r="G49" s="2664"/>
      <c r="H49" s="2663"/>
      <c r="I49" s="2664"/>
      <c r="J49" s="2663"/>
      <c r="K49" s="2663"/>
      <c r="L49" s="2664"/>
      <c r="M49" s="2663"/>
      <c r="N49" s="2663"/>
      <c r="O49" s="2664"/>
      <c r="P49" s="2663"/>
      <c r="Q49" s="2663"/>
      <c r="R49" s="2665"/>
    </row>
    <row r="50" spans="2:18" s="885" customFormat="1">
      <c r="B50" s="2663"/>
      <c r="C50" s="2663"/>
      <c r="D50" s="2663"/>
      <c r="E50" s="2663"/>
      <c r="F50" s="2663"/>
      <c r="G50" s="2664"/>
      <c r="H50" s="2663"/>
      <c r="I50" s="2664"/>
      <c r="J50" s="2663"/>
      <c r="K50" s="2663"/>
      <c r="L50" s="2664"/>
      <c r="M50" s="2663"/>
      <c r="N50" s="2663"/>
      <c r="O50" s="2664"/>
      <c r="P50" s="2663"/>
      <c r="Q50" s="2663"/>
      <c r="R50" s="2665"/>
    </row>
    <row r="51" spans="2:18" s="885" customFormat="1">
      <c r="B51" s="2663"/>
      <c r="C51" s="2663"/>
      <c r="D51" s="2663"/>
      <c r="E51" s="2663"/>
      <c r="F51" s="2663"/>
      <c r="G51" s="2664"/>
      <c r="H51" s="2663"/>
      <c r="I51" s="2664"/>
      <c r="J51" s="2663"/>
      <c r="K51" s="2663"/>
      <c r="L51" s="2664"/>
      <c r="M51" s="2663"/>
      <c r="N51" s="2663"/>
      <c r="O51" s="2664"/>
      <c r="P51" s="2663"/>
      <c r="Q51" s="2663"/>
      <c r="R51" s="2665"/>
    </row>
    <row r="52" spans="2:18" s="885" customFormat="1">
      <c r="B52" s="2663"/>
      <c r="C52" s="2663"/>
      <c r="D52" s="2663"/>
      <c r="E52" s="2663"/>
      <c r="F52" s="2663"/>
      <c r="G52" s="2664"/>
      <c r="H52" s="2663"/>
      <c r="I52" s="2664"/>
      <c r="J52" s="2663"/>
      <c r="K52" s="2663"/>
      <c r="L52" s="2664"/>
      <c r="M52" s="2663"/>
      <c r="N52" s="2663"/>
      <c r="O52" s="2664"/>
      <c r="P52" s="2663"/>
      <c r="Q52" s="2663"/>
      <c r="R52" s="2665"/>
    </row>
    <row r="53" spans="2:18" s="885" customFormat="1">
      <c r="B53" s="2663"/>
      <c r="C53" s="2663"/>
      <c r="D53" s="2663"/>
      <c r="E53" s="2663"/>
      <c r="F53" s="2663"/>
      <c r="G53" s="2664"/>
      <c r="H53" s="2663"/>
      <c r="I53" s="2664"/>
      <c r="J53" s="2663"/>
      <c r="K53" s="2663"/>
      <c r="L53" s="2664"/>
      <c r="M53" s="2663"/>
      <c r="N53" s="2663"/>
      <c r="O53" s="2664"/>
      <c r="P53" s="2663"/>
      <c r="Q53" s="2663"/>
      <c r="R53" s="2665"/>
    </row>
    <row r="54" spans="2:18" s="885" customFormat="1">
      <c r="B54" s="2663"/>
      <c r="C54" s="2663"/>
      <c r="D54" s="2663"/>
      <c r="E54" s="2663"/>
      <c r="F54" s="2663"/>
      <c r="G54" s="2664"/>
      <c r="H54" s="2663"/>
      <c r="I54" s="2664"/>
      <c r="J54" s="2663"/>
      <c r="K54" s="2663"/>
      <c r="L54" s="2664"/>
      <c r="M54" s="2663"/>
      <c r="N54" s="2663"/>
      <c r="O54" s="2664"/>
      <c r="P54" s="2663"/>
      <c r="Q54" s="2663"/>
      <c r="R54" s="2665"/>
    </row>
    <row r="55" spans="2:18" s="885" customFormat="1">
      <c r="B55" s="2663"/>
      <c r="C55" s="2663"/>
      <c r="D55" s="2663"/>
      <c r="E55" s="2663"/>
      <c r="F55" s="2663"/>
      <c r="G55" s="2664"/>
      <c r="H55" s="2663"/>
      <c r="I55" s="2664"/>
      <c r="J55" s="2663"/>
      <c r="K55" s="2663"/>
      <c r="L55" s="2664"/>
      <c r="M55" s="2663"/>
      <c r="N55" s="2663"/>
      <c r="O55" s="2664"/>
      <c r="P55" s="2663"/>
      <c r="Q55" s="2663"/>
      <c r="R55" s="2665"/>
    </row>
    <row r="56" spans="2:18" s="885" customFormat="1">
      <c r="B56" s="2663"/>
      <c r="C56" s="2663"/>
      <c r="D56" s="2663"/>
      <c r="E56" s="2663"/>
      <c r="F56" s="2663"/>
      <c r="G56" s="2664"/>
      <c r="H56" s="2663"/>
      <c r="I56" s="2664"/>
      <c r="J56" s="2663"/>
      <c r="K56" s="2663"/>
      <c r="L56" s="2664"/>
      <c r="M56" s="2663"/>
      <c r="N56" s="2663"/>
      <c r="O56" s="2664"/>
      <c r="P56" s="2663"/>
      <c r="Q56" s="2663"/>
      <c r="R56" s="2665"/>
    </row>
    <row r="57" spans="2:18" s="885" customFormat="1">
      <c r="B57" s="2663"/>
      <c r="C57" s="2663"/>
      <c r="D57" s="2663"/>
      <c r="E57" s="2663"/>
      <c r="F57" s="2663"/>
      <c r="G57" s="2664"/>
      <c r="H57" s="2663"/>
      <c r="I57" s="2664"/>
      <c r="J57" s="2663"/>
      <c r="K57" s="2663"/>
      <c r="L57" s="2664"/>
      <c r="M57" s="2663"/>
      <c r="N57" s="2663"/>
      <c r="O57" s="2664"/>
      <c r="P57" s="2663"/>
      <c r="Q57" s="2663"/>
      <c r="R57" s="2665"/>
    </row>
    <row r="58" spans="2:18" s="885" customFormat="1">
      <c r="B58" s="2663"/>
      <c r="C58" s="2663"/>
      <c r="D58" s="2663"/>
      <c r="E58" s="2663"/>
      <c r="F58" s="2663"/>
      <c r="G58" s="2664"/>
      <c r="H58" s="2663"/>
      <c r="I58" s="2664"/>
      <c r="J58" s="2663"/>
      <c r="K58" s="2663"/>
      <c r="L58" s="2664"/>
      <c r="M58" s="2663"/>
      <c r="N58" s="2663"/>
      <c r="O58" s="2664"/>
      <c r="P58" s="2663"/>
      <c r="Q58" s="2663"/>
      <c r="R58" s="2665"/>
    </row>
    <row r="59" spans="2:18" s="885" customFormat="1">
      <c r="B59" s="2663"/>
      <c r="C59" s="2663"/>
      <c r="D59" s="2663"/>
      <c r="E59" s="2663"/>
      <c r="F59" s="2663"/>
      <c r="G59" s="2664"/>
      <c r="H59" s="2663"/>
      <c r="I59" s="2664"/>
      <c r="J59" s="2663"/>
      <c r="K59" s="2663"/>
      <c r="L59" s="2664"/>
      <c r="M59" s="2663"/>
      <c r="N59" s="2663"/>
      <c r="O59" s="2664"/>
      <c r="P59" s="2663"/>
      <c r="Q59" s="2663"/>
      <c r="R59" s="2665"/>
    </row>
    <row r="60" spans="2:18" s="885" customFormat="1">
      <c r="B60" s="2663"/>
      <c r="C60" s="2663"/>
      <c r="D60" s="2663"/>
      <c r="E60" s="2663"/>
      <c r="F60" s="2663"/>
      <c r="G60" s="2664"/>
      <c r="H60" s="2663"/>
      <c r="I60" s="2664"/>
      <c r="J60" s="2663"/>
      <c r="K60" s="2663"/>
      <c r="L60" s="2664"/>
      <c r="M60" s="2663"/>
      <c r="N60" s="2663"/>
      <c r="O60" s="2664"/>
      <c r="P60" s="2663"/>
      <c r="Q60" s="2663"/>
      <c r="R60" s="2665"/>
    </row>
    <row r="61" spans="2:18" s="885" customFormat="1">
      <c r="B61" s="2663"/>
      <c r="C61" s="2663"/>
      <c r="D61" s="2663"/>
      <c r="E61" s="2663"/>
      <c r="F61" s="2663"/>
      <c r="G61" s="2664"/>
      <c r="H61" s="2663"/>
      <c r="I61" s="2664"/>
      <c r="J61" s="2663"/>
      <c r="K61" s="2663"/>
      <c r="L61" s="2664"/>
      <c r="M61" s="2663"/>
      <c r="N61" s="2663"/>
      <c r="O61" s="2664"/>
      <c r="P61" s="2663"/>
      <c r="Q61" s="2663"/>
      <c r="R61" s="2665"/>
    </row>
    <row r="62" spans="2:18" s="885" customFormat="1">
      <c r="B62" s="2663"/>
      <c r="C62" s="2663"/>
      <c r="D62" s="2663"/>
      <c r="E62" s="2663"/>
      <c r="F62" s="2663"/>
      <c r="G62" s="2664"/>
      <c r="H62" s="2663"/>
      <c r="I62" s="2664"/>
      <c r="J62" s="2663"/>
      <c r="K62" s="2663"/>
      <c r="L62" s="2664"/>
      <c r="M62" s="2663"/>
      <c r="N62" s="2663"/>
      <c r="O62" s="2664"/>
      <c r="P62" s="2663"/>
      <c r="Q62" s="2663"/>
      <c r="R62" s="2665"/>
    </row>
    <row r="63" spans="2:18" s="885" customFormat="1">
      <c r="B63" s="2663"/>
      <c r="C63" s="2663"/>
      <c r="D63" s="2663"/>
      <c r="E63" s="2663"/>
      <c r="F63" s="2663"/>
      <c r="G63" s="2664"/>
      <c r="H63" s="2663"/>
      <c r="I63" s="2664"/>
      <c r="J63" s="2663"/>
      <c r="K63" s="2663"/>
      <c r="L63" s="2664"/>
      <c r="M63" s="2663"/>
      <c r="N63" s="2663"/>
      <c r="O63" s="2664"/>
      <c r="P63" s="2663"/>
      <c r="Q63" s="2663"/>
      <c r="R63" s="2665"/>
    </row>
    <row r="64" spans="2:18" s="885" customFormat="1">
      <c r="B64" s="2663"/>
      <c r="C64" s="2663"/>
      <c r="D64" s="2663"/>
      <c r="E64" s="2663"/>
      <c r="F64" s="2663"/>
      <c r="G64" s="2664"/>
      <c r="H64" s="2663"/>
      <c r="I64" s="2664"/>
      <c r="J64" s="2663"/>
      <c r="K64" s="2663"/>
      <c r="L64" s="2664"/>
      <c r="M64" s="2663"/>
      <c r="N64" s="2663"/>
      <c r="O64" s="2664"/>
      <c r="P64" s="2663"/>
      <c r="Q64" s="2663"/>
      <c r="R64" s="2665"/>
    </row>
    <row r="65" spans="2:18" s="885" customFormat="1">
      <c r="B65" s="2663"/>
      <c r="C65" s="2663"/>
      <c r="D65" s="2663"/>
      <c r="E65" s="2663"/>
      <c r="F65" s="2663"/>
      <c r="G65" s="2664"/>
      <c r="H65" s="2663"/>
      <c r="I65" s="2664"/>
      <c r="J65" s="2663"/>
      <c r="K65" s="2663"/>
      <c r="L65" s="2664"/>
      <c r="M65" s="2663"/>
      <c r="N65" s="2663"/>
      <c r="O65" s="2664"/>
      <c r="P65" s="2663"/>
      <c r="Q65" s="2663"/>
      <c r="R65" s="2665"/>
    </row>
    <row r="66" spans="2:18" s="885" customFormat="1">
      <c r="B66" s="2663"/>
      <c r="C66" s="2663"/>
      <c r="D66" s="2663"/>
      <c r="E66" s="2663"/>
      <c r="F66" s="2663"/>
      <c r="G66" s="2664"/>
      <c r="H66" s="2663"/>
      <c r="I66" s="2664"/>
      <c r="J66" s="2663"/>
      <c r="K66" s="2663"/>
      <c r="L66" s="2664"/>
      <c r="M66" s="2663"/>
      <c r="N66" s="2663"/>
      <c r="O66" s="2664"/>
      <c r="P66" s="2663"/>
      <c r="Q66" s="2663"/>
      <c r="R66" s="2665"/>
    </row>
    <row r="67" spans="2:18" s="885" customFormat="1">
      <c r="B67" s="2663"/>
      <c r="C67" s="2663"/>
      <c r="D67" s="2663"/>
      <c r="E67" s="2663"/>
      <c r="F67" s="2663"/>
      <c r="G67" s="2664"/>
      <c r="H67" s="2663"/>
      <c r="I67" s="2664"/>
      <c r="J67" s="2663"/>
      <c r="K67" s="2663"/>
      <c r="L67" s="2664"/>
      <c r="M67" s="2663"/>
      <c r="N67" s="2663"/>
      <c r="O67" s="2664"/>
      <c r="P67" s="2663"/>
      <c r="Q67" s="2663"/>
      <c r="R67" s="2665"/>
    </row>
    <row r="68" spans="2:18" s="885" customFormat="1">
      <c r="B68" s="2663"/>
      <c r="C68" s="2663"/>
      <c r="D68" s="2663"/>
      <c r="E68" s="2663"/>
      <c r="F68" s="2663"/>
      <c r="G68" s="2664"/>
      <c r="H68" s="2663"/>
      <c r="I68" s="2664"/>
      <c r="J68" s="2663"/>
      <c r="K68" s="2663"/>
      <c r="L68" s="2664"/>
      <c r="M68" s="2663"/>
      <c r="N68" s="2663"/>
      <c r="O68" s="2664"/>
      <c r="P68" s="2663"/>
      <c r="Q68" s="2663"/>
      <c r="R68" s="2665"/>
    </row>
    <row r="69" spans="2:18" s="885" customFormat="1">
      <c r="B69" s="2663"/>
      <c r="C69" s="2663"/>
      <c r="D69" s="2663"/>
      <c r="E69" s="2663"/>
      <c r="F69" s="2663"/>
      <c r="G69" s="2664"/>
      <c r="H69" s="2663"/>
      <c r="I69" s="2664"/>
      <c r="J69" s="2663"/>
      <c r="K69" s="2663"/>
      <c r="L69" s="2664"/>
      <c r="M69" s="2663"/>
      <c r="N69" s="2663"/>
      <c r="O69" s="2664"/>
      <c r="P69" s="2663"/>
      <c r="Q69" s="2663"/>
      <c r="R69" s="2665"/>
    </row>
    <row r="70" spans="2:18" s="885" customFormat="1">
      <c r="B70" s="2663"/>
      <c r="C70" s="2663"/>
      <c r="D70" s="2663"/>
      <c r="E70" s="2663"/>
      <c r="F70" s="2663"/>
      <c r="G70" s="2664"/>
      <c r="H70" s="2663"/>
      <c r="I70" s="2664"/>
      <c r="J70" s="2663"/>
      <c r="K70" s="2663"/>
      <c r="L70" s="2664"/>
      <c r="M70" s="2663"/>
      <c r="N70" s="2663"/>
      <c r="O70" s="2664"/>
      <c r="P70" s="2663"/>
      <c r="Q70" s="2663"/>
      <c r="R70" s="2665"/>
    </row>
    <row r="71" spans="2:18" s="885" customFormat="1">
      <c r="B71" s="2663"/>
      <c r="C71" s="2663"/>
      <c r="D71" s="2663"/>
      <c r="E71" s="2663"/>
      <c r="F71" s="2663"/>
      <c r="G71" s="2664"/>
      <c r="H71" s="2663"/>
      <c r="I71" s="2664"/>
      <c r="J71" s="2663"/>
      <c r="K71" s="2663"/>
      <c r="L71" s="2664"/>
      <c r="M71" s="2663"/>
      <c r="N71" s="2663"/>
      <c r="O71" s="2664"/>
      <c r="P71" s="2663"/>
      <c r="Q71" s="2663"/>
      <c r="R71" s="2665"/>
    </row>
    <row r="72" spans="2:18" s="885" customFormat="1">
      <c r="B72" s="2663"/>
      <c r="C72" s="2663"/>
      <c r="D72" s="2663"/>
      <c r="E72" s="2663"/>
      <c r="F72" s="2663"/>
      <c r="G72" s="2664"/>
      <c r="H72" s="2663"/>
      <c r="I72" s="2664"/>
      <c r="J72" s="2663"/>
      <c r="K72" s="2663"/>
      <c r="L72" s="2664"/>
      <c r="M72" s="2663"/>
      <c r="N72" s="2663"/>
      <c r="O72" s="2664"/>
      <c r="P72" s="2663"/>
      <c r="Q72" s="2663"/>
      <c r="R72" s="2665"/>
    </row>
    <row r="73" spans="2:18" s="885" customFormat="1">
      <c r="B73" s="2663"/>
      <c r="C73" s="2663"/>
      <c r="D73" s="2663"/>
      <c r="E73" s="2663"/>
      <c r="F73" s="2663"/>
      <c r="G73" s="2664"/>
      <c r="H73" s="2663"/>
      <c r="I73" s="2664"/>
      <c r="J73" s="2663"/>
      <c r="K73" s="2663"/>
      <c r="L73" s="2664"/>
      <c r="M73" s="2663"/>
      <c r="N73" s="2663"/>
      <c r="O73" s="2664"/>
      <c r="P73" s="2663"/>
      <c r="Q73" s="2663"/>
      <c r="R73" s="2665"/>
    </row>
    <row r="74" spans="2:18" s="885" customFormat="1">
      <c r="B74" s="2663"/>
      <c r="C74" s="2663"/>
      <c r="D74" s="2663"/>
      <c r="E74" s="2663"/>
      <c r="F74" s="2663"/>
      <c r="G74" s="2664"/>
      <c r="H74" s="2663"/>
      <c r="I74" s="2664"/>
      <c r="J74" s="2663"/>
      <c r="K74" s="2663"/>
      <c r="L74" s="2664"/>
      <c r="M74" s="2663"/>
      <c r="N74" s="2663"/>
      <c r="O74" s="2664"/>
      <c r="P74" s="2663"/>
      <c r="Q74" s="2663"/>
      <c r="R74" s="2665"/>
    </row>
    <row r="75" spans="2:18" s="885" customFormat="1">
      <c r="B75" s="2663"/>
      <c r="C75" s="2663"/>
      <c r="D75" s="2663"/>
      <c r="E75" s="2663"/>
      <c r="F75" s="2663"/>
      <c r="G75" s="2664"/>
      <c r="H75" s="2663"/>
      <c r="I75" s="2664"/>
      <c r="J75" s="2663"/>
      <c r="K75" s="2663"/>
      <c r="L75" s="2664"/>
      <c r="M75" s="2663"/>
      <c r="N75" s="2663"/>
      <c r="O75" s="2664"/>
      <c r="P75" s="2663"/>
      <c r="Q75" s="2663"/>
      <c r="R75" s="2665"/>
    </row>
    <row r="76" spans="2:18" s="885" customFormat="1">
      <c r="B76" s="2663"/>
      <c r="C76" s="2663"/>
      <c r="D76" s="2663"/>
      <c r="E76" s="2663"/>
      <c r="F76" s="2663"/>
      <c r="G76" s="2664"/>
      <c r="H76" s="2663"/>
      <c r="I76" s="2664"/>
      <c r="J76" s="2663"/>
      <c r="K76" s="2663"/>
      <c r="L76" s="2664"/>
      <c r="M76" s="2663"/>
      <c r="N76" s="2663"/>
      <c r="O76" s="2664"/>
      <c r="P76" s="2663"/>
      <c r="Q76" s="2663"/>
      <c r="R76" s="2665"/>
    </row>
    <row r="77" spans="2:18" s="885" customFormat="1">
      <c r="B77" s="2663"/>
      <c r="C77" s="2663"/>
      <c r="D77" s="2663"/>
      <c r="E77" s="2663"/>
      <c r="F77" s="2663"/>
      <c r="G77" s="2664"/>
      <c r="H77" s="2663"/>
      <c r="I77" s="2664"/>
      <c r="J77" s="2663"/>
      <c r="K77" s="2663"/>
      <c r="L77" s="2664"/>
      <c r="M77" s="2663"/>
      <c r="N77" s="2663"/>
      <c r="O77" s="2664"/>
      <c r="P77" s="2663"/>
      <c r="Q77" s="2663"/>
      <c r="R77" s="2665"/>
    </row>
    <row r="78" spans="2:18" s="885" customFormat="1">
      <c r="B78" s="2663"/>
      <c r="C78" s="2663"/>
      <c r="D78" s="2663"/>
      <c r="E78" s="2663"/>
      <c r="F78" s="2663"/>
      <c r="G78" s="2664"/>
      <c r="H78" s="2663"/>
      <c r="I78" s="2664"/>
      <c r="J78" s="2663"/>
      <c r="K78" s="2663"/>
      <c r="L78" s="2664"/>
      <c r="M78" s="2663"/>
      <c r="N78" s="2663"/>
      <c r="O78" s="2664"/>
      <c r="P78" s="2663"/>
      <c r="Q78" s="2663"/>
      <c r="R78" s="2665"/>
    </row>
    <row r="79" spans="2:18" s="885" customFormat="1">
      <c r="B79" s="2663"/>
      <c r="C79" s="2663"/>
      <c r="D79" s="2663"/>
      <c r="E79" s="2663"/>
      <c r="F79" s="2663"/>
      <c r="G79" s="2664"/>
      <c r="H79" s="2663"/>
      <c r="I79" s="2664"/>
      <c r="J79" s="2663"/>
      <c r="K79" s="2663"/>
      <c r="L79" s="2664"/>
      <c r="M79" s="2663"/>
      <c r="N79" s="2663"/>
      <c r="O79" s="2664"/>
      <c r="P79" s="2663"/>
      <c r="Q79" s="2663"/>
      <c r="R79" s="2665"/>
    </row>
    <row r="80" spans="2:18" s="885" customFormat="1">
      <c r="B80" s="2663"/>
      <c r="C80" s="2663"/>
      <c r="D80" s="2663"/>
      <c r="E80" s="2663"/>
      <c r="F80" s="2663"/>
      <c r="G80" s="2664"/>
      <c r="H80" s="2663"/>
      <c r="I80" s="2664"/>
      <c r="J80" s="2663"/>
      <c r="K80" s="2663"/>
      <c r="L80" s="2664"/>
      <c r="M80" s="2663"/>
      <c r="N80" s="2663"/>
      <c r="O80" s="2664"/>
      <c r="P80" s="2663"/>
      <c r="Q80" s="2663"/>
      <c r="R80" s="2665"/>
    </row>
    <row r="81" spans="2:18" s="885" customFormat="1">
      <c r="B81" s="2663"/>
      <c r="C81" s="2663"/>
      <c r="D81" s="2663"/>
      <c r="E81" s="2663"/>
      <c r="F81" s="2663"/>
      <c r="G81" s="2664"/>
      <c r="H81" s="2663"/>
      <c r="I81" s="2664"/>
      <c r="J81" s="2663"/>
      <c r="K81" s="2663"/>
      <c r="L81" s="2664"/>
      <c r="M81" s="2663"/>
      <c r="N81" s="2663"/>
      <c r="O81" s="2664"/>
      <c r="P81" s="2663"/>
      <c r="Q81" s="2663"/>
      <c r="R81" s="2665"/>
    </row>
    <row r="82" spans="2:18" s="885" customFormat="1">
      <c r="B82" s="2663"/>
      <c r="C82" s="2663"/>
      <c r="D82" s="2663"/>
      <c r="E82" s="2663"/>
      <c r="F82" s="2663"/>
      <c r="G82" s="2664"/>
      <c r="H82" s="2663"/>
      <c r="I82" s="2664"/>
      <c r="J82" s="2663"/>
      <c r="K82" s="2663"/>
      <c r="L82" s="2664"/>
      <c r="M82" s="2663"/>
      <c r="N82" s="2663"/>
      <c r="O82" s="2664"/>
      <c r="P82" s="2663"/>
      <c r="Q82" s="2663"/>
      <c r="R82" s="2665"/>
    </row>
    <row r="83" spans="2:18" s="885" customFormat="1">
      <c r="B83" s="2663"/>
      <c r="C83" s="2663"/>
      <c r="D83" s="2663"/>
      <c r="E83" s="2663"/>
      <c r="F83" s="2663"/>
      <c r="G83" s="2664"/>
      <c r="H83" s="2663"/>
      <c r="I83" s="2664"/>
      <c r="J83" s="2663"/>
      <c r="K83" s="2663"/>
      <c r="L83" s="2664"/>
      <c r="M83" s="2663"/>
      <c r="N83" s="2663"/>
      <c r="O83" s="2664"/>
      <c r="P83" s="2663"/>
      <c r="Q83" s="2663"/>
      <c r="R83" s="2665"/>
    </row>
    <row r="84" spans="2:18" s="885" customFormat="1">
      <c r="B84" s="2663"/>
      <c r="C84" s="2663"/>
      <c r="D84" s="2663"/>
      <c r="E84" s="2663"/>
      <c r="F84" s="2663"/>
      <c r="G84" s="2664"/>
      <c r="H84" s="2663"/>
      <c r="I84" s="2664"/>
      <c r="J84" s="2663"/>
      <c r="K84" s="2663"/>
      <c r="L84" s="2664"/>
      <c r="M84" s="2663"/>
      <c r="N84" s="2663"/>
      <c r="O84" s="2664"/>
      <c r="P84" s="2663"/>
      <c r="Q84" s="2663"/>
      <c r="R84" s="2665"/>
    </row>
    <row r="85" spans="2:18" s="885" customFormat="1">
      <c r="B85" s="2663"/>
      <c r="C85" s="2663"/>
      <c r="D85" s="2663"/>
      <c r="E85" s="2663"/>
      <c r="F85" s="2663"/>
      <c r="G85" s="2664"/>
      <c r="H85" s="2663"/>
      <c r="I85" s="2664"/>
      <c r="J85" s="2663"/>
      <c r="K85" s="2663"/>
      <c r="L85" s="2664"/>
      <c r="M85" s="2663"/>
      <c r="N85" s="2663"/>
      <c r="O85" s="2664"/>
      <c r="P85" s="2663"/>
      <c r="Q85" s="2663"/>
      <c r="R85" s="2665"/>
    </row>
    <row r="86" spans="2:18" s="885" customFormat="1">
      <c r="B86" s="2663"/>
      <c r="C86" s="2663"/>
      <c r="D86" s="2663"/>
      <c r="E86" s="2663"/>
      <c r="F86" s="2663"/>
      <c r="G86" s="2664"/>
      <c r="H86" s="2663"/>
      <c r="I86" s="2664"/>
      <c r="J86" s="2663"/>
      <c r="K86" s="2663"/>
      <c r="L86" s="2664"/>
      <c r="M86" s="2663"/>
      <c r="N86" s="2663"/>
      <c r="O86" s="2664"/>
      <c r="P86" s="2663"/>
      <c r="Q86" s="2663"/>
      <c r="R86" s="2665"/>
    </row>
    <row r="87" spans="2:18" s="885" customFormat="1">
      <c r="B87" s="2663"/>
      <c r="C87" s="2663"/>
      <c r="D87" s="2663"/>
      <c r="E87" s="2663"/>
      <c r="F87" s="2663"/>
      <c r="G87" s="2664"/>
      <c r="H87" s="2663"/>
      <c r="I87" s="2664"/>
      <c r="J87" s="2663"/>
      <c r="K87" s="2663"/>
      <c r="L87" s="2664"/>
      <c r="M87" s="2663"/>
      <c r="N87" s="2663"/>
      <c r="O87" s="2664"/>
      <c r="P87" s="2663"/>
      <c r="Q87" s="2663"/>
      <c r="R87" s="2665"/>
    </row>
    <row r="88" spans="2:18" s="885" customFormat="1">
      <c r="B88" s="2663"/>
      <c r="C88" s="2663"/>
      <c r="D88" s="2663"/>
      <c r="E88" s="2663"/>
      <c r="F88" s="2663"/>
      <c r="G88" s="2664"/>
      <c r="H88" s="2663"/>
      <c r="I88" s="2664"/>
      <c r="J88" s="2663"/>
      <c r="K88" s="2663"/>
      <c r="L88" s="2664"/>
      <c r="M88" s="2663"/>
      <c r="N88" s="2663"/>
      <c r="O88" s="2664"/>
      <c r="P88" s="2663"/>
      <c r="Q88" s="2663"/>
      <c r="R88" s="2665"/>
    </row>
    <row r="89" spans="2:18" s="885" customFormat="1">
      <c r="B89" s="2663"/>
      <c r="C89" s="2663"/>
      <c r="D89" s="2663"/>
      <c r="E89" s="2663"/>
      <c r="F89" s="2663"/>
      <c r="G89" s="2664"/>
      <c r="H89" s="2663"/>
      <c r="I89" s="2664"/>
      <c r="J89" s="2663"/>
      <c r="K89" s="2663"/>
      <c r="L89" s="2664"/>
      <c r="M89" s="2663"/>
      <c r="N89" s="2663"/>
      <c r="O89" s="2664"/>
      <c r="P89" s="2663"/>
      <c r="Q89" s="2663"/>
      <c r="R89" s="2665"/>
    </row>
    <row r="90" spans="2:18" s="885" customFormat="1">
      <c r="B90" s="2663"/>
      <c r="C90" s="2663"/>
      <c r="D90" s="2663"/>
      <c r="E90" s="2663"/>
      <c r="F90" s="2663"/>
      <c r="G90" s="2664"/>
      <c r="H90" s="2663"/>
      <c r="I90" s="2664"/>
      <c r="J90" s="2663"/>
      <c r="K90" s="2663"/>
      <c r="L90" s="2664"/>
      <c r="M90" s="2663"/>
      <c r="N90" s="2663"/>
      <c r="O90" s="2664"/>
      <c r="P90" s="2663"/>
      <c r="Q90" s="2663"/>
      <c r="R90" s="2665"/>
    </row>
    <row r="91" spans="2:18" s="885" customFormat="1">
      <c r="B91" s="2663"/>
      <c r="C91" s="2663"/>
      <c r="D91" s="2663"/>
      <c r="E91" s="2663"/>
      <c r="F91" s="2663"/>
      <c r="G91" s="2664"/>
      <c r="H91" s="2663"/>
      <c r="I91" s="2664"/>
      <c r="J91" s="2663"/>
      <c r="K91" s="2663"/>
      <c r="L91" s="2664"/>
      <c r="M91" s="2663"/>
      <c r="N91" s="2663"/>
      <c r="O91" s="2664"/>
      <c r="P91" s="2663"/>
      <c r="Q91" s="2663"/>
      <c r="R91" s="2665"/>
    </row>
    <row r="92" spans="2:18" s="885" customFormat="1">
      <c r="B92" s="2663"/>
      <c r="C92" s="2663"/>
      <c r="D92" s="2663"/>
      <c r="E92" s="2663"/>
      <c r="F92" s="2663"/>
      <c r="G92" s="2664"/>
      <c r="H92" s="2663"/>
      <c r="I92" s="2664"/>
      <c r="J92" s="2663"/>
      <c r="K92" s="2663"/>
      <c r="L92" s="2664"/>
      <c r="M92" s="2663"/>
      <c r="N92" s="2663"/>
      <c r="O92" s="2664"/>
      <c r="P92" s="2663"/>
      <c r="Q92" s="2663"/>
      <c r="R92" s="2665"/>
    </row>
    <row r="93" spans="2:18" s="885" customFormat="1">
      <c r="B93" s="2663"/>
      <c r="C93" s="2663"/>
      <c r="D93" s="2663"/>
      <c r="E93" s="2663"/>
      <c r="F93" s="2663"/>
      <c r="G93" s="2664"/>
      <c r="H93" s="2663"/>
      <c r="I93" s="2664"/>
      <c r="J93" s="2663"/>
      <c r="K93" s="2663"/>
      <c r="L93" s="2664"/>
      <c r="M93" s="2663"/>
      <c r="N93" s="2663"/>
      <c r="O93" s="2664"/>
      <c r="P93" s="2663"/>
      <c r="Q93" s="2663"/>
      <c r="R93" s="2665"/>
    </row>
    <row r="94" spans="2:18" s="885" customFormat="1">
      <c r="B94" s="2663"/>
      <c r="C94" s="2663"/>
      <c r="D94" s="2663"/>
      <c r="E94" s="2663"/>
      <c r="F94" s="2663"/>
      <c r="G94" s="2664"/>
      <c r="H94" s="2663"/>
      <c r="I94" s="2664"/>
      <c r="J94" s="2663"/>
      <c r="K94" s="2663"/>
      <c r="L94" s="2664"/>
      <c r="M94" s="2663"/>
      <c r="N94" s="2663"/>
      <c r="O94" s="2664"/>
      <c r="P94" s="2663"/>
      <c r="Q94" s="2663"/>
      <c r="R94" s="2665"/>
    </row>
    <row r="95" spans="2:18" s="885" customFormat="1">
      <c r="B95" s="2663"/>
      <c r="C95" s="2663"/>
      <c r="D95" s="2663"/>
      <c r="E95" s="2663"/>
      <c r="F95" s="2663"/>
      <c r="G95" s="2664"/>
      <c r="H95" s="2663"/>
      <c r="I95" s="2664"/>
      <c r="J95" s="2663"/>
      <c r="K95" s="2663"/>
      <c r="L95" s="2664"/>
      <c r="M95" s="2663"/>
      <c r="N95" s="2663"/>
      <c r="O95" s="2664"/>
      <c r="P95" s="2663"/>
      <c r="Q95" s="2663"/>
      <c r="R95" s="2665"/>
    </row>
    <row r="96" spans="2:18" s="885" customFormat="1">
      <c r="B96" s="2663"/>
      <c r="C96" s="2663"/>
      <c r="D96" s="2663"/>
      <c r="E96" s="2663"/>
      <c r="F96" s="2663"/>
      <c r="G96" s="2664"/>
      <c r="H96" s="2663"/>
      <c r="I96" s="2664"/>
      <c r="J96" s="2663"/>
      <c r="K96" s="2663"/>
      <c r="L96" s="2664"/>
      <c r="M96" s="2663"/>
      <c r="N96" s="2663"/>
      <c r="O96" s="2664"/>
      <c r="P96" s="2663"/>
      <c r="Q96" s="2663"/>
      <c r="R96" s="2665"/>
    </row>
    <row r="97" spans="2:18" s="885" customFormat="1">
      <c r="B97" s="2663"/>
      <c r="C97" s="2663"/>
      <c r="D97" s="2663"/>
      <c r="E97" s="2663"/>
      <c r="F97" s="2663"/>
      <c r="G97" s="2664"/>
      <c r="H97" s="2663"/>
      <c r="I97" s="2664"/>
      <c r="J97" s="2663"/>
      <c r="K97" s="2663"/>
      <c r="L97" s="2664"/>
      <c r="M97" s="2663"/>
      <c r="N97" s="2663"/>
      <c r="O97" s="2664"/>
      <c r="P97" s="2663"/>
      <c r="Q97" s="2663"/>
      <c r="R97" s="2665"/>
    </row>
    <row r="98" spans="2:18" s="885" customFormat="1">
      <c r="B98" s="2663"/>
      <c r="C98" s="2663"/>
      <c r="D98" s="2663"/>
      <c r="E98" s="2663"/>
      <c r="F98" s="2663"/>
      <c r="G98" s="2664"/>
      <c r="H98" s="2663"/>
      <c r="I98" s="2664"/>
      <c r="J98" s="2663"/>
      <c r="K98" s="2663"/>
      <c r="L98" s="2664"/>
      <c r="M98" s="2663"/>
      <c r="N98" s="2663"/>
      <c r="O98" s="2664"/>
      <c r="P98" s="2663"/>
      <c r="Q98" s="2663"/>
      <c r="R98" s="2665"/>
    </row>
    <row r="99" spans="2:18" s="885" customFormat="1">
      <c r="B99" s="2663"/>
      <c r="C99" s="2663"/>
      <c r="D99" s="2663"/>
      <c r="E99" s="2663"/>
      <c r="F99" s="2663"/>
      <c r="G99" s="2664"/>
      <c r="H99" s="2663"/>
      <c r="I99" s="2664"/>
      <c r="J99" s="2663"/>
      <c r="K99" s="2663"/>
      <c r="L99" s="2664"/>
      <c r="M99" s="2663"/>
      <c r="N99" s="2663"/>
      <c r="O99" s="2664"/>
      <c r="P99" s="2663"/>
      <c r="Q99" s="2663"/>
      <c r="R99" s="2665"/>
    </row>
    <row r="100" spans="2:18" s="885" customFormat="1">
      <c r="B100" s="2663"/>
      <c r="C100" s="2663"/>
      <c r="D100" s="2663"/>
      <c r="E100" s="2663"/>
      <c r="F100" s="2663"/>
      <c r="G100" s="2664"/>
      <c r="H100" s="2663"/>
      <c r="I100" s="2664"/>
      <c r="J100" s="2663"/>
      <c r="K100" s="2663"/>
      <c r="L100" s="2664"/>
      <c r="M100" s="2663"/>
      <c r="N100" s="2663"/>
      <c r="O100" s="2664"/>
      <c r="P100" s="2663"/>
      <c r="Q100" s="2663"/>
      <c r="R100" s="2665"/>
    </row>
    <row r="101" spans="2:18" s="885" customFormat="1">
      <c r="B101" s="2663"/>
      <c r="C101" s="2663"/>
      <c r="D101" s="2663"/>
      <c r="E101" s="2663"/>
      <c r="F101" s="2663"/>
      <c r="G101" s="2664"/>
      <c r="H101" s="2663"/>
      <c r="I101" s="2664"/>
      <c r="J101" s="2663"/>
      <c r="K101" s="2663"/>
      <c r="L101" s="2664"/>
      <c r="M101" s="2663"/>
      <c r="N101" s="2663"/>
      <c r="O101" s="2664"/>
      <c r="P101" s="2663"/>
      <c r="Q101" s="2663"/>
      <c r="R101" s="2665"/>
    </row>
    <row r="102" spans="2:18" s="885" customFormat="1">
      <c r="B102" s="2663"/>
      <c r="C102" s="2663"/>
      <c r="D102" s="2663"/>
      <c r="E102" s="2663"/>
      <c r="F102" s="2663"/>
      <c r="G102" s="2664"/>
      <c r="H102" s="2663"/>
      <c r="I102" s="2664"/>
      <c r="J102" s="2663"/>
      <c r="K102" s="2663"/>
      <c r="L102" s="2664"/>
      <c r="M102" s="2663"/>
      <c r="N102" s="2663"/>
      <c r="O102" s="2664"/>
      <c r="P102" s="2663"/>
      <c r="Q102" s="2663"/>
      <c r="R102" s="2665"/>
    </row>
    <row r="103" spans="2:18" s="885" customFormat="1">
      <c r="B103" s="2663"/>
      <c r="C103" s="2663"/>
      <c r="D103" s="2663"/>
      <c r="E103" s="2663"/>
      <c r="F103" s="2663"/>
      <c r="G103" s="2664"/>
      <c r="H103" s="2663"/>
      <c r="I103" s="2664"/>
      <c r="J103" s="2663"/>
      <c r="K103" s="2663"/>
      <c r="L103" s="2664"/>
      <c r="M103" s="2663"/>
      <c r="N103" s="2663"/>
      <c r="O103" s="2664"/>
      <c r="P103" s="2663"/>
      <c r="Q103" s="2663"/>
      <c r="R103" s="2665"/>
    </row>
    <row r="104" spans="2:18" s="885" customFormat="1">
      <c r="B104" s="2663"/>
      <c r="C104" s="2663"/>
      <c r="D104" s="2663"/>
      <c r="E104" s="2663"/>
      <c r="F104" s="2663"/>
      <c r="G104" s="2664"/>
      <c r="H104" s="2663"/>
      <c r="I104" s="2664"/>
      <c r="J104" s="2663"/>
      <c r="K104" s="2663"/>
      <c r="L104" s="2664"/>
      <c r="M104" s="2663"/>
      <c r="N104" s="2663"/>
      <c r="O104" s="2664"/>
      <c r="P104" s="2663"/>
      <c r="Q104" s="2663"/>
      <c r="R104" s="2665"/>
    </row>
    <row r="105" spans="2:18" s="885" customFormat="1">
      <c r="B105" s="2663"/>
      <c r="C105" s="2663"/>
      <c r="D105" s="2663"/>
      <c r="E105" s="2663"/>
      <c r="F105" s="2663"/>
      <c r="G105" s="2664"/>
      <c r="H105" s="2663"/>
      <c r="I105" s="2664"/>
      <c r="J105" s="2663"/>
      <c r="K105" s="2663"/>
      <c r="L105" s="2664"/>
      <c r="M105" s="2663"/>
      <c r="N105" s="2663"/>
      <c r="O105" s="2664"/>
      <c r="P105" s="2663"/>
      <c r="Q105" s="2663"/>
      <c r="R105" s="2665"/>
    </row>
    <row r="106" spans="2:18" s="885" customFormat="1">
      <c r="B106" s="2663"/>
      <c r="C106" s="2663"/>
      <c r="D106" s="2663"/>
      <c r="E106" s="2663"/>
      <c r="F106" s="2663"/>
      <c r="G106" s="2664"/>
      <c r="H106" s="2663"/>
      <c r="I106" s="2664"/>
      <c r="J106" s="2663"/>
      <c r="K106" s="2663"/>
      <c r="L106" s="2664"/>
      <c r="M106" s="2663"/>
      <c r="N106" s="2663"/>
      <c r="O106" s="2664"/>
      <c r="P106" s="2663"/>
      <c r="Q106" s="2663"/>
      <c r="R106" s="2665"/>
    </row>
    <row r="107" spans="2:18" s="885" customFormat="1">
      <c r="B107" s="2663"/>
      <c r="C107" s="2663"/>
      <c r="D107" s="2663"/>
      <c r="E107" s="2663"/>
      <c r="F107" s="2663"/>
      <c r="G107" s="2664"/>
      <c r="H107" s="2663"/>
      <c r="I107" s="2664"/>
      <c r="J107" s="2663"/>
      <c r="K107" s="2663"/>
      <c r="L107" s="2664"/>
      <c r="M107" s="2663"/>
      <c r="N107" s="2663"/>
      <c r="O107" s="2664"/>
      <c r="P107" s="2663"/>
      <c r="Q107" s="2663"/>
      <c r="R107" s="2665"/>
    </row>
    <row r="108" spans="2:18" s="885" customFormat="1">
      <c r="B108" s="2663"/>
      <c r="C108" s="2663"/>
      <c r="D108" s="2663"/>
      <c r="E108" s="2663"/>
      <c r="F108" s="2663"/>
      <c r="G108" s="2664"/>
      <c r="H108" s="2663"/>
      <c r="I108" s="2664"/>
      <c r="J108" s="2663"/>
      <c r="K108" s="2663"/>
      <c r="L108" s="2664"/>
      <c r="M108" s="2663"/>
      <c r="N108" s="2663"/>
      <c r="O108" s="2664"/>
      <c r="P108" s="2663"/>
      <c r="Q108" s="2663"/>
      <c r="R108" s="2665"/>
    </row>
    <row r="109" spans="2:18" s="885" customFormat="1">
      <c r="B109" s="2663"/>
      <c r="C109" s="2663"/>
      <c r="D109" s="2663"/>
      <c r="E109" s="2663"/>
      <c r="F109" s="2663"/>
      <c r="G109" s="2664"/>
      <c r="H109" s="2663"/>
      <c r="I109" s="2664"/>
      <c r="J109" s="2663"/>
      <c r="K109" s="2663"/>
      <c r="L109" s="2664"/>
      <c r="M109" s="2663"/>
      <c r="N109" s="2663"/>
      <c r="O109" s="2664"/>
      <c r="P109" s="2663"/>
      <c r="Q109" s="2663"/>
      <c r="R109" s="2665"/>
    </row>
    <row r="110" spans="2:18" s="885" customFormat="1">
      <c r="B110" s="2663"/>
      <c r="C110" s="2663"/>
      <c r="D110" s="2663"/>
      <c r="E110" s="2663"/>
      <c r="F110" s="2663"/>
      <c r="G110" s="2664"/>
      <c r="H110" s="2663"/>
      <c r="I110" s="2664"/>
      <c r="J110" s="2663"/>
      <c r="K110" s="2663"/>
      <c r="L110" s="2664"/>
      <c r="M110" s="2663"/>
      <c r="N110" s="2663"/>
      <c r="O110" s="2664"/>
      <c r="P110" s="2663"/>
      <c r="Q110" s="2663"/>
      <c r="R110" s="2665"/>
    </row>
    <row r="111" spans="2:18" s="885" customFormat="1">
      <c r="B111" s="2663"/>
      <c r="C111" s="2663"/>
      <c r="D111" s="2663"/>
      <c r="E111" s="2663"/>
      <c r="F111" s="2663"/>
      <c r="G111" s="2664"/>
      <c r="H111" s="2663"/>
      <c r="I111" s="2664"/>
      <c r="J111" s="2663"/>
      <c r="K111" s="2663"/>
      <c r="L111" s="2664"/>
      <c r="M111" s="2663"/>
      <c r="N111" s="2663"/>
      <c r="O111" s="2664"/>
      <c r="P111" s="2663"/>
      <c r="Q111" s="2663"/>
      <c r="R111" s="2665"/>
    </row>
    <row r="112" spans="2:18" s="885" customFormat="1">
      <c r="B112" s="2663"/>
      <c r="C112" s="2663"/>
      <c r="D112" s="2663"/>
      <c r="E112" s="2663"/>
      <c r="F112" s="2663"/>
      <c r="G112" s="2664"/>
      <c r="H112" s="2663"/>
      <c r="I112" s="2664"/>
      <c r="J112" s="2663"/>
      <c r="K112" s="2663"/>
      <c r="L112" s="2664"/>
      <c r="M112" s="2663"/>
      <c r="N112" s="2663"/>
      <c r="O112" s="2664"/>
      <c r="P112" s="2663"/>
      <c r="Q112" s="2663"/>
      <c r="R112" s="2665"/>
    </row>
    <row r="113" spans="2:18" s="885" customFormat="1">
      <c r="B113" s="2663"/>
      <c r="C113" s="2663"/>
      <c r="D113" s="2663"/>
      <c r="E113" s="2663"/>
      <c r="F113" s="2663"/>
      <c r="G113" s="2664"/>
      <c r="H113" s="2663"/>
      <c r="I113" s="2664"/>
      <c r="J113" s="2663"/>
      <c r="K113" s="2663"/>
      <c r="L113" s="2664"/>
      <c r="M113" s="2663"/>
      <c r="N113" s="2663"/>
      <c r="O113" s="2664"/>
      <c r="P113" s="2663"/>
      <c r="Q113" s="2663"/>
      <c r="R113" s="2665"/>
    </row>
    <row r="114" spans="2:18" s="885" customFormat="1">
      <c r="B114" s="2663"/>
      <c r="C114" s="2663"/>
      <c r="D114" s="2663"/>
      <c r="E114" s="2663"/>
      <c r="F114" s="2663"/>
      <c r="G114" s="2664"/>
      <c r="H114" s="2663"/>
      <c r="I114" s="2664"/>
      <c r="J114" s="2663"/>
      <c r="K114" s="2663"/>
      <c r="L114" s="2664"/>
      <c r="M114" s="2663"/>
      <c r="N114" s="2663"/>
      <c r="O114" s="2664"/>
      <c r="P114" s="2663"/>
      <c r="Q114" s="2663"/>
      <c r="R114" s="2665"/>
    </row>
    <row r="115" spans="2:18" s="885" customFormat="1">
      <c r="B115" s="2663"/>
      <c r="C115" s="2663"/>
      <c r="D115" s="2663"/>
      <c r="E115" s="2663"/>
      <c r="F115" s="2663"/>
      <c r="G115" s="2664"/>
      <c r="H115" s="2663"/>
      <c r="I115" s="2664"/>
      <c r="J115" s="2663"/>
      <c r="K115" s="2663"/>
      <c r="L115" s="2664"/>
      <c r="M115" s="2663"/>
      <c r="N115" s="2663"/>
      <c r="O115" s="2664"/>
      <c r="P115" s="2663"/>
      <c r="Q115" s="2663"/>
      <c r="R115" s="2665"/>
    </row>
    <row r="116" spans="2:18" s="885" customFormat="1">
      <c r="B116" s="2663"/>
      <c r="C116" s="2663"/>
      <c r="D116" s="2663"/>
      <c r="E116" s="2663"/>
      <c r="F116" s="2663"/>
      <c r="G116" s="2664"/>
      <c r="H116" s="2663"/>
      <c r="I116" s="2664"/>
      <c r="J116" s="2663"/>
      <c r="K116" s="2663"/>
      <c r="L116" s="2664"/>
      <c r="M116" s="2663"/>
      <c r="N116" s="2663"/>
      <c r="O116" s="2664"/>
      <c r="P116" s="2663"/>
      <c r="Q116" s="2663"/>
      <c r="R116" s="2665"/>
    </row>
    <row r="117" spans="2:18" s="885" customFormat="1">
      <c r="B117" s="2663"/>
      <c r="C117" s="2663"/>
      <c r="D117" s="2663"/>
      <c r="E117" s="2663"/>
      <c r="F117" s="2663"/>
      <c r="G117" s="2664"/>
      <c r="H117" s="2663"/>
      <c r="I117" s="2664"/>
      <c r="J117" s="2663"/>
      <c r="K117" s="2663"/>
      <c r="L117" s="2664"/>
      <c r="M117" s="2663"/>
      <c r="N117" s="2663"/>
      <c r="O117" s="2664"/>
      <c r="P117" s="2663"/>
      <c r="Q117" s="2663"/>
      <c r="R117" s="2665"/>
    </row>
    <row r="118" spans="2:18" s="885" customFormat="1">
      <c r="B118" s="2663"/>
      <c r="C118" s="2663"/>
      <c r="D118" s="2663"/>
      <c r="E118" s="2663"/>
      <c r="F118" s="2663"/>
      <c r="G118" s="2664"/>
      <c r="H118" s="2663"/>
      <c r="I118" s="2664"/>
      <c r="J118" s="2663"/>
      <c r="K118" s="2663"/>
      <c r="L118" s="2664"/>
      <c r="M118" s="2663"/>
      <c r="N118" s="2663"/>
      <c r="O118" s="2664"/>
      <c r="P118" s="2663"/>
      <c r="Q118" s="2663"/>
      <c r="R118" s="2665"/>
    </row>
    <row r="119" spans="2:18" s="885" customFormat="1">
      <c r="B119" s="2663"/>
      <c r="C119" s="2663"/>
      <c r="D119" s="2663"/>
      <c r="E119" s="2663"/>
      <c r="F119" s="2663"/>
      <c r="G119" s="2664"/>
      <c r="H119" s="2663"/>
      <c r="I119" s="2664"/>
      <c r="J119" s="2663"/>
      <c r="K119" s="2663"/>
      <c r="L119" s="2664"/>
      <c r="M119" s="2663"/>
      <c r="N119" s="2663"/>
      <c r="O119" s="2664"/>
      <c r="P119" s="2663"/>
      <c r="Q119" s="2663"/>
      <c r="R119" s="2665"/>
    </row>
    <row r="120" spans="2:18" s="885" customFormat="1">
      <c r="B120" s="2663"/>
      <c r="C120" s="2663"/>
      <c r="D120" s="2663"/>
      <c r="E120" s="2663"/>
      <c r="F120" s="2663"/>
      <c r="G120" s="2664"/>
      <c r="H120" s="2663"/>
      <c r="I120" s="2664"/>
      <c r="J120" s="2663"/>
      <c r="K120" s="2663"/>
      <c r="L120" s="2664"/>
      <c r="M120" s="2663"/>
      <c r="N120" s="2663"/>
      <c r="O120" s="2664"/>
      <c r="P120" s="2663"/>
      <c r="Q120" s="2663"/>
      <c r="R120" s="2665"/>
    </row>
    <row r="121" spans="2:18" s="885" customFormat="1">
      <c r="B121" s="2663"/>
      <c r="C121" s="2663"/>
      <c r="D121" s="2663"/>
      <c r="E121" s="2663"/>
      <c r="F121" s="2663"/>
      <c r="G121" s="2664"/>
      <c r="H121" s="2663"/>
      <c r="I121" s="2664"/>
      <c r="J121" s="2663"/>
      <c r="K121" s="2663"/>
      <c r="L121" s="2664"/>
      <c r="M121" s="2663"/>
      <c r="N121" s="2663"/>
      <c r="O121" s="2664"/>
      <c r="P121" s="2663"/>
      <c r="Q121" s="2663"/>
      <c r="R121" s="2665"/>
    </row>
    <row r="122" spans="2:18" s="885" customFormat="1">
      <c r="B122" s="2663"/>
      <c r="C122" s="2663"/>
      <c r="D122" s="2663"/>
      <c r="E122" s="2663"/>
      <c r="F122" s="2663"/>
      <c r="G122" s="2664"/>
      <c r="H122" s="2663"/>
      <c r="I122" s="2664"/>
      <c r="J122" s="2663"/>
      <c r="K122" s="2663"/>
      <c r="L122" s="2664"/>
      <c r="M122" s="2663"/>
      <c r="N122" s="2663"/>
      <c r="O122" s="2664"/>
      <c r="P122" s="2663"/>
      <c r="Q122" s="2663"/>
      <c r="R122" s="2665"/>
    </row>
    <row r="123" spans="2:18" s="885" customFormat="1">
      <c r="B123" s="2663"/>
      <c r="C123" s="2663"/>
      <c r="D123" s="2663"/>
      <c r="E123" s="2663"/>
      <c r="F123" s="2663"/>
      <c r="G123" s="2664"/>
      <c r="H123" s="2663"/>
      <c r="I123" s="2664"/>
      <c r="J123" s="2663"/>
      <c r="K123" s="2663"/>
      <c r="L123" s="2664"/>
      <c r="M123" s="2663"/>
      <c r="N123" s="2663"/>
      <c r="O123" s="2664"/>
      <c r="P123" s="2663"/>
      <c r="Q123" s="2663"/>
      <c r="R123" s="2665"/>
    </row>
    <row r="124" spans="2:18" s="885" customFormat="1">
      <c r="B124" s="2663"/>
      <c r="C124" s="2663"/>
      <c r="D124" s="2663"/>
      <c r="E124" s="2663"/>
      <c r="F124" s="2663"/>
      <c r="G124" s="2664"/>
      <c r="H124" s="2663"/>
      <c r="I124" s="2664"/>
      <c r="J124" s="2663"/>
      <c r="K124" s="2663"/>
      <c r="L124" s="2664"/>
      <c r="M124" s="2663"/>
      <c r="N124" s="2663"/>
      <c r="O124" s="2664"/>
      <c r="P124" s="2663"/>
      <c r="Q124" s="2663"/>
      <c r="R124" s="2665"/>
    </row>
    <row r="125" spans="2:18" s="885" customFormat="1">
      <c r="B125" s="2663"/>
      <c r="C125" s="2663"/>
      <c r="D125" s="2663"/>
      <c r="E125" s="2663"/>
      <c r="F125" s="2663"/>
      <c r="G125" s="2664"/>
      <c r="H125" s="2663"/>
      <c r="I125" s="2664"/>
      <c r="J125" s="2663"/>
      <c r="K125" s="2663"/>
      <c r="L125" s="2664"/>
      <c r="M125" s="2663"/>
      <c r="N125" s="2663"/>
      <c r="O125" s="2664"/>
      <c r="P125" s="2663"/>
      <c r="Q125" s="2663"/>
      <c r="R125" s="2665"/>
    </row>
    <row r="126" spans="2:18" s="885" customFormat="1">
      <c r="B126" s="2663"/>
      <c r="C126" s="2663"/>
      <c r="D126" s="2663"/>
      <c r="E126" s="2663"/>
      <c r="F126" s="2663"/>
      <c r="G126" s="2664"/>
      <c r="H126" s="2663"/>
      <c r="I126" s="2664"/>
      <c r="J126" s="2663"/>
      <c r="K126" s="2663"/>
      <c r="L126" s="2664"/>
      <c r="M126" s="2663"/>
      <c r="N126" s="2663"/>
      <c r="O126" s="2664"/>
      <c r="P126" s="2663"/>
      <c r="Q126" s="2663"/>
      <c r="R126" s="2665"/>
    </row>
    <row r="127" spans="2:18" s="885" customFormat="1">
      <c r="B127" s="2663"/>
      <c r="C127" s="2663"/>
      <c r="D127" s="2663"/>
      <c r="E127" s="2663"/>
      <c r="F127" s="2663"/>
      <c r="G127" s="2664"/>
      <c r="H127" s="2663"/>
      <c r="I127" s="2664"/>
      <c r="J127" s="2663"/>
      <c r="K127" s="2663"/>
      <c r="L127" s="2664"/>
      <c r="M127" s="2663"/>
      <c r="N127" s="2663"/>
      <c r="O127" s="2664"/>
      <c r="P127" s="2663"/>
      <c r="Q127" s="2663"/>
      <c r="R127" s="2665"/>
    </row>
    <row r="128" spans="2:18" s="885" customFormat="1">
      <c r="B128" s="2663"/>
      <c r="C128" s="2663"/>
      <c r="D128" s="2663"/>
      <c r="E128" s="2663"/>
      <c r="F128" s="2663"/>
      <c r="G128" s="2664"/>
      <c r="H128" s="2663"/>
      <c r="I128" s="2664"/>
      <c r="J128" s="2663"/>
      <c r="K128" s="2663"/>
      <c r="L128" s="2664"/>
      <c r="M128" s="2663"/>
      <c r="N128" s="2663"/>
      <c r="O128" s="2664"/>
      <c r="P128" s="2663"/>
      <c r="Q128" s="2663"/>
      <c r="R128" s="2665"/>
    </row>
    <row r="129" spans="2:18" s="885" customFormat="1">
      <c r="B129" s="2663"/>
      <c r="C129" s="2663"/>
      <c r="D129" s="2663"/>
      <c r="E129" s="2663"/>
      <c r="F129" s="2663"/>
      <c r="G129" s="2664"/>
      <c r="H129" s="2663"/>
      <c r="I129" s="2664"/>
      <c r="J129" s="2663"/>
      <c r="K129" s="2663"/>
      <c r="L129" s="2664"/>
      <c r="M129" s="2663"/>
      <c r="N129" s="2663"/>
      <c r="O129" s="2664"/>
      <c r="P129" s="2663"/>
      <c r="Q129" s="2663"/>
      <c r="R129" s="2665"/>
    </row>
    <row r="130" spans="2:18" s="885" customFormat="1">
      <c r="B130" s="2663"/>
      <c r="C130" s="2663"/>
      <c r="D130" s="2663"/>
      <c r="E130" s="2663"/>
      <c r="F130" s="2663"/>
      <c r="G130" s="2664"/>
      <c r="H130" s="2663"/>
      <c r="I130" s="2664"/>
      <c r="J130" s="2663"/>
      <c r="K130" s="2663"/>
      <c r="L130" s="2664"/>
      <c r="M130" s="2663"/>
      <c r="N130" s="2663"/>
      <c r="O130" s="2664"/>
      <c r="P130" s="2663"/>
      <c r="Q130" s="2663"/>
      <c r="R130" s="2665"/>
    </row>
    <row r="131" spans="2:18" s="885" customFormat="1">
      <c r="B131" s="2663"/>
      <c r="C131" s="2663"/>
      <c r="D131" s="2663"/>
      <c r="E131" s="2663"/>
      <c r="F131" s="2663"/>
      <c r="G131" s="2664"/>
      <c r="H131" s="2663"/>
      <c r="I131" s="2664"/>
      <c r="J131" s="2663"/>
      <c r="K131" s="2663"/>
      <c r="L131" s="2664"/>
      <c r="M131" s="2663"/>
      <c r="N131" s="2663"/>
      <c r="O131" s="2664"/>
      <c r="P131" s="2663"/>
      <c r="Q131" s="2663"/>
      <c r="R131" s="2665"/>
    </row>
    <row r="132" spans="2:18" s="885" customFormat="1">
      <c r="B132" s="2663"/>
      <c r="C132" s="2663"/>
      <c r="D132" s="2663"/>
      <c r="E132" s="2663"/>
      <c r="F132" s="2663"/>
      <c r="G132" s="2664"/>
      <c r="H132" s="2663"/>
      <c r="I132" s="2664"/>
      <c r="J132" s="2663"/>
      <c r="K132" s="2663"/>
      <c r="L132" s="2664"/>
      <c r="M132" s="2663"/>
      <c r="N132" s="2663"/>
      <c r="O132" s="2664"/>
      <c r="P132" s="2663"/>
      <c r="Q132" s="2663"/>
      <c r="R132" s="2665"/>
    </row>
    <row r="133" spans="2:18" s="885" customFormat="1">
      <c r="B133" s="2663"/>
      <c r="C133" s="2663"/>
      <c r="D133" s="2663"/>
      <c r="E133" s="2663"/>
      <c r="F133" s="2663"/>
      <c r="G133" s="2664"/>
      <c r="H133" s="2663"/>
      <c r="I133" s="2664"/>
      <c r="J133" s="2663"/>
      <c r="K133" s="2663"/>
      <c r="L133" s="2664"/>
      <c r="M133" s="2663"/>
      <c r="N133" s="2663"/>
      <c r="O133" s="2664"/>
      <c r="P133" s="2663"/>
      <c r="Q133" s="2663"/>
      <c r="R133" s="2665"/>
    </row>
    <row r="134" spans="2:18" s="885" customFormat="1">
      <c r="B134" s="2663"/>
      <c r="C134" s="2663"/>
      <c r="D134" s="2663"/>
      <c r="E134" s="2663"/>
      <c r="F134" s="2663"/>
      <c r="G134" s="2664"/>
      <c r="H134" s="2663"/>
      <c r="I134" s="2664"/>
      <c r="J134" s="2663"/>
      <c r="K134" s="2663"/>
      <c r="L134" s="2664"/>
      <c r="M134" s="2663"/>
      <c r="N134" s="2663"/>
      <c r="O134" s="2664"/>
      <c r="P134" s="2663"/>
      <c r="Q134" s="2663"/>
      <c r="R134" s="2665"/>
    </row>
    <row r="135" spans="2:18" s="885" customFormat="1">
      <c r="B135" s="2663"/>
      <c r="C135" s="2663"/>
      <c r="D135" s="2663"/>
      <c r="E135" s="2663"/>
      <c r="F135" s="2663"/>
      <c r="G135" s="2664"/>
      <c r="H135" s="2663"/>
      <c r="I135" s="2664"/>
      <c r="J135" s="2663"/>
      <c r="K135" s="2663"/>
      <c r="L135" s="2664"/>
      <c r="M135" s="2663"/>
      <c r="N135" s="2663"/>
      <c r="O135" s="2664"/>
      <c r="P135" s="2663"/>
      <c r="Q135" s="2663"/>
      <c r="R135" s="2665"/>
    </row>
    <row r="136" spans="2:18" s="885" customFormat="1">
      <c r="B136" s="2663"/>
      <c r="C136" s="2663"/>
      <c r="D136" s="2663"/>
      <c r="E136" s="2663"/>
      <c r="F136" s="2663"/>
      <c r="G136" s="2664"/>
      <c r="H136" s="2663"/>
      <c r="I136" s="2664"/>
      <c r="J136" s="2663"/>
      <c r="K136" s="2663"/>
      <c r="L136" s="2664"/>
      <c r="M136" s="2663"/>
      <c r="N136" s="2663"/>
      <c r="O136" s="2664"/>
      <c r="P136" s="2663"/>
      <c r="Q136" s="2663"/>
      <c r="R136" s="2665"/>
    </row>
    <row r="137" spans="2:18" s="885" customFormat="1">
      <c r="B137" s="2663"/>
      <c r="C137" s="2663"/>
      <c r="D137" s="2663"/>
      <c r="E137" s="2663"/>
      <c r="F137" s="2663"/>
      <c r="G137" s="2664"/>
      <c r="H137" s="2663"/>
      <c r="I137" s="2664"/>
      <c r="J137" s="2663"/>
      <c r="K137" s="2663"/>
      <c r="L137" s="2664"/>
      <c r="M137" s="2663"/>
      <c r="N137" s="2663"/>
      <c r="O137" s="2664"/>
      <c r="P137" s="2663"/>
      <c r="Q137" s="2663"/>
      <c r="R137" s="2665"/>
    </row>
    <row r="138" spans="2:18" s="885" customFormat="1">
      <c r="B138" s="2663"/>
      <c r="C138" s="2663"/>
      <c r="D138" s="2663"/>
      <c r="E138" s="2663"/>
      <c r="F138" s="2663"/>
      <c r="G138" s="2664"/>
      <c r="H138" s="2663"/>
      <c r="I138" s="2664"/>
      <c r="J138" s="2663"/>
      <c r="K138" s="2663"/>
      <c r="L138" s="2664"/>
      <c r="M138" s="2663"/>
      <c r="N138" s="2663"/>
      <c r="O138" s="2664"/>
      <c r="P138" s="2663"/>
      <c r="Q138" s="2663"/>
      <c r="R138" s="2665"/>
    </row>
    <row r="139" spans="2:18" s="885" customFormat="1">
      <c r="B139" s="2663"/>
      <c r="C139" s="2663"/>
      <c r="D139" s="2663"/>
      <c r="E139" s="2663"/>
      <c r="F139" s="2663"/>
      <c r="G139" s="2664"/>
      <c r="H139" s="2663"/>
      <c r="I139" s="2664"/>
      <c r="J139" s="2663"/>
      <c r="K139" s="2663"/>
      <c r="L139" s="2664"/>
      <c r="M139" s="2663"/>
      <c r="N139" s="2663"/>
      <c r="O139" s="2664"/>
      <c r="P139" s="2663"/>
      <c r="Q139" s="2663"/>
      <c r="R139" s="2665"/>
    </row>
    <row r="140" spans="2:18" s="885" customFormat="1">
      <c r="B140" s="2663"/>
      <c r="C140" s="2663"/>
      <c r="D140" s="2663"/>
      <c r="E140" s="2663"/>
      <c r="F140" s="2663"/>
      <c r="G140" s="2664"/>
      <c r="H140" s="2663"/>
      <c r="I140" s="2664"/>
      <c r="J140" s="2663"/>
      <c r="K140" s="2663"/>
      <c r="L140" s="2664"/>
      <c r="M140" s="2663"/>
      <c r="N140" s="2663"/>
      <c r="O140" s="2664"/>
      <c r="P140" s="2663"/>
      <c r="Q140" s="2663"/>
      <c r="R140" s="2665"/>
    </row>
    <row r="141" spans="2:18" s="885" customFormat="1">
      <c r="B141" s="2663"/>
      <c r="C141" s="2663"/>
      <c r="D141" s="2663"/>
      <c r="E141" s="2663"/>
      <c r="F141" s="2663"/>
      <c r="G141" s="2664"/>
      <c r="H141" s="2663"/>
      <c r="I141" s="2664"/>
      <c r="J141" s="2663"/>
      <c r="K141" s="2663"/>
      <c r="L141" s="2664"/>
      <c r="M141" s="2663"/>
      <c r="N141" s="2663"/>
      <c r="O141" s="2664"/>
      <c r="P141" s="2663"/>
      <c r="Q141" s="2663"/>
      <c r="R141" s="2665"/>
    </row>
    <row r="142" spans="2:18" s="885" customFormat="1">
      <c r="B142" s="2663"/>
      <c r="C142" s="2663"/>
      <c r="D142" s="2663"/>
      <c r="E142" s="2663"/>
      <c r="F142" s="2663"/>
      <c r="G142" s="2664"/>
      <c r="H142" s="2663"/>
      <c r="I142" s="2664"/>
      <c r="J142" s="2663"/>
      <c r="K142" s="2663"/>
      <c r="L142" s="2664"/>
      <c r="M142" s="2663"/>
      <c r="N142" s="2663"/>
      <c r="O142" s="2664"/>
      <c r="P142" s="2663"/>
      <c r="Q142" s="2663"/>
      <c r="R142" s="2665"/>
    </row>
    <row r="143" spans="2:18" s="885" customFormat="1">
      <c r="B143" s="2663"/>
      <c r="C143" s="2663"/>
      <c r="D143" s="2663"/>
      <c r="E143" s="2663"/>
      <c r="F143" s="2663"/>
      <c r="G143" s="2664"/>
      <c r="H143" s="2663"/>
      <c r="I143" s="2664"/>
      <c r="J143" s="2663"/>
      <c r="K143" s="2663"/>
      <c r="L143" s="2664"/>
      <c r="M143" s="2663"/>
      <c r="N143" s="2663"/>
      <c r="O143" s="2664"/>
      <c r="P143" s="2663"/>
      <c r="Q143" s="2663"/>
      <c r="R143" s="2665"/>
    </row>
    <row r="144" spans="2:18" s="885" customFormat="1">
      <c r="B144" s="2663"/>
      <c r="C144" s="2663"/>
      <c r="D144" s="2663"/>
      <c r="E144" s="2663"/>
      <c r="F144" s="2663"/>
      <c r="G144" s="2664"/>
      <c r="H144" s="2663"/>
      <c r="I144" s="2664"/>
      <c r="J144" s="2663"/>
      <c r="K144" s="2663"/>
      <c r="L144" s="2664"/>
      <c r="M144" s="2663"/>
      <c r="N144" s="2663"/>
      <c r="O144" s="2664"/>
      <c r="P144" s="2663"/>
      <c r="Q144" s="2663"/>
      <c r="R144" s="2665"/>
    </row>
    <row r="145" spans="2:18" s="885" customFormat="1">
      <c r="B145" s="2663"/>
      <c r="C145" s="2663"/>
      <c r="D145" s="2663"/>
      <c r="E145" s="2663"/>
      <c r="F145" s="2663"/>
      <c r="G145" s="2664"/>
      <c r="H145" s="2663"/>
      <c r="I145" s="2664"/>
      <c r="J145" s="2663"/>
      <c r="K145" s="2663"/>
      <c r="L145" s="2664"/>
      <c r="M145" s="2663"/>
      <c r="N145" s="2663"/>
      <c r="O145" s="2664"/>
      <c r="P145" s="2663"/>
      <c r="Q145" s="2663"/>
      <c r="R145" s="2665"/>
    </row>
    <row r="146" spans="2:18" s="885" customFormat="1">
      <c r="B146" s="2663"/>
      <c r="C146" s="2663"/>
      <c r="D146" s="2663"/>
      <c r="E146" s="2663"/>
      <c r="F146" s="2663"/>
      <c r="G146" s="2664"/>
      <c r="H146" s="2663"/>
      <c r="I146" s="2664"/>
      <c r="J146" s="2663"/>
      <c r="K146" s="2663"/>
      <c r="L146" s="2664"/>
      <c r="M146" s="2663"/>
      <c r="N146" s="2663"/>
      <c r="O146" s="2664"/>
      <c r="P146" s="2663"/>
      <c r="Q146" s="2663"/>
      <c r="R146" s="2665"/>
    </row>
    <row r="147" spans="2:18" s="885" customFormat="1">
      <c r="B147" s="2663"/>
      <c r="C147" s="2663"/>
      <c r="D147" s="2663"/>
      <c r="E147" s="2663"/>
      <c r="F147" s="2663"/>
      <c r="G147" s="2664"/>
      <c r="H147" s="2663"/>
      <c r="I147" s="2664"/>
      <c r="J147" s="2663"/>
      <c r="K147" s="2663"/>
      <c r="L147" s="2664"/>
      <c r="M147" s="2663"/>
      <c r="N147" s="2663"/>
      <c r="O147" s="2664"/>
      <c r="P147" s="2663"/>
      <c r="Q147" s="2663"/>
      <c r="R147" s="2665"/>
    </row>
    <row r="148" spans="2:18" s="885" customFormat="1">
      <c r="B148" s="2663"/>
      <c r="C148" s="2663"/>
      <c r="D148" s="2663"/>
      <c r="E148" s="2663"/>
      <c r="F148" s="2663"/>
      <c r="G148" s="2664"/>
      <c r="H148" s="2663"/>
      <c r="I148" s="2664"/>
      <c r="J148" s="2663"/>
      <c r="K148" s="2663"/>
      <c r="L148" s="2664"/>
      <c r="M148" s="2663"/>
      <c r="N148" s="2663"/>
      <c r="O148" s="2664"/>
      <c r="P148" s="2663"/>
      <c r="Q148" s="2663"/>
      <c r="R148" s="2665"/>
    </row>
    <row r="149" spans="2:18" s="885" customFormat="1">
      <c r="B149" s="2663"/>
      <c r="C149" s="2663"/>
      <c r="D149" s="2663"/>
      <c r="E149" s="2663"/>
      <c r="F149" s="2663"/>
      <c r="G149" s="2664"/>
      <c r="H149" s="2663"/>
      <c r="I149" s="2664"/>
      <c r="J149" s="2663"/>
      <c r="K149" s="2663"/>
      <c r="L149" s="2664"/>
      <c r="M149" s="2663"/>
      <c r="N149" s="2663"/>
      <c r="O149" s="2664"/>
      <c r="P149" s="2663"/>
      <c r="Q149" s="2663"/>
      <c r="R149" s="2665"/>
    </row>
    <row r="150" spans="2:18" s="885" customFormat="1">
      <c r="B150" s="2663"/>
      <c r="C150" s="2663"/>
      <c r="D150" s="2663"/>
      <c r="E150" s="2663"/>
      <c r="F150" s="2663"/>
      <c r="G150" s="2664"/>
      <c r="H150" s="2663"/>
      <c r="I150" s="2664"/>
      <c r="J150" s="2663"/>
      <c r="K150" s="2663"/>
      <c r="L150" s="2664"/>
      <c r="M150" s="2663"/>
      <c r="N150" s="2663"/>
      <c r="O150" s="2664"/>
      <c r="P150" s="2663"/>
      <c r="Q150" s="2663"/>
      <c r="R150" s="2665"/>
    </row>
    <row r="151" spans="2:18" s="885" customFormat="1">
      <c r="B151" s="2663"/>
      <c r="C151" s="2663"/>
      <c r="D151" s="2663"/>
      <c r="E151" s="2663"/>
      <c r="F151" s="2663"/>
      <c r="G151" s="2664"/>
      <c r="H151" s="2663"/>
      <c r="I151" s="2664"/>
      <c r="J151" s="2663"/>
      <c r="K151" s="2663"/>
      <c r="L151" s="2664"/>
      <c r="M151" s="2663"/>
      <c r="N151" s="2663"/>
      <c r="O151" s="2664"/>
      <c r="P151" s="2663"/>
      <c r="Q151" s="2663"/>
      <c r="R151" s="2665"/>
    </row>
    <row r="152" spans="2:18" s="885" customFormat="1">
      <c r="B152" s="2663"/>
      <c r="C152" s="2663"/>
      <c r="D152" s="2663"/>
      <c r="E152" s="2663"/>
      <c r="F152" s="2663"/>
      <c r="G152" s="2664"/>
      <c r="H152" s="2663"/>
      <c r="I152" s="2664"/>
      <c r="J152" s="2663"/>
      <c r="K152" s="2663"/>
      <c r="L152" s="2664"/>
      <c r="M152" s="2663"/>
      <c r="N152" s="2663"/>
      <c r="O152" s="2664"/>
      <c r="P152" s="2663"/>
      <c r="Q152" s="2663"/>
      <c r="R152" s="2665"/>
    </row>
    <row r="153" spans="2:18" s="885" customFormat="1">
      <c r="B153" s="2663"/>
      <c r="C153" s="2663"/>
      <c r="D153" s="2663"/>
      <c r="E153" s="2663"/>
      <c r="F153" s="2663"/>
      <c r="G153" s="2664"/>
      <c r="H153" s="2663"/>
      <c r="I153" s="2664"/>
      <c r="J153" s="2663"/>
      <c r="K153" s="2663"/>
      <c r="L153" s="2664"/>
      <c r="M153" s="2663"/>
      <c r="N153" s="2663"/>
      <c r="O153" s="2664"/>
      <c r="P153" s="2663"/>
      <c r="Q153" s="2663"/>
      <c r="R153" s="2665"/>
    </row>
    <row r="154" spans="2:18" s="885" customFormat="1">
      <c r="B154" s="2663"/>
      <c r="C154" s="2663"/>
      <c r="D154" s="2663"/>
      <c r="E154" s="2663"/>
      <c r="F154" s="2663"/>
      <c r="G154" s="2664"/>
      <c r="H154" s="2663"/>
      <c r="I154" s="2664"/>
      <c r="J154" s="2663"/>
      <c r="K154" s="2663"/>
      <c r="L154" s="2664"/>
      <c r="M154" s="2663"/>
      <c r="N154" s="2663"/>
      <c r="O154" s="2664"/>
      <c r="P154" s="2663"/>
      <c r="Q154" s="2663"/>
      <c r="R154" s="2665"/>
    </row>
    <row r="155" spans="2:18" s="885" customFormat="1">
      <c r="B155" s="2663"/>
      <c r="C155" s="2663"/>
      <c r="D155" s="2663"/>
      <c r="E155" s="2663"/>
      <c r="F155" s="2663"/>
      <c r="G155" s="2664"/>
      <c r="H155" s="2663"/>
      <c r="I155" s="2664"/>
      <c r="J155" s="2663"/>
      <c r="K155" s="2663"/>
      <c r="L155" s="2664"/>
      <c r="M155" s="2663"/>
      <c r="N155" s="2663"/>
      <c r="O155" s="2664"/>
      <c r="P155" s="2663"/>
      <c r="Q155" s="2663"/>
      <c r="R155" s="2665"/>
    </row>
    <row r="156" spans="2:18" s="885" customFormat="1">
      <c r="B156" s="2663"/>
      <c r="C156" s="2663"/>
      <c r="D156" s="2663"/>
      <c r="E156" s="2663"/>
      <c r="F156" s="2663"/>
      <c r="G156" s="2664"/>
      <c r="H156" s="2663"/>
      <c r="I156" s="2664"/>
      <c r="J156" s="2663"/>
      <c r="K156" s="2663"/>
      <c r="L156" s="2664"/>
      <c r="M156" s="2663"/>
      <c r="N156" s="2663"/>
      <c r="O156" s="2664"/>
      <c r="P156" s="2663"/>
      <c r="Q156" s="2663"/>
      <c r="R156" s="2665"/>
    </row>
    <row r="157" spans="2:18" s="885" customFormat="1">
      <c r="B157" s="2663"/>
      <c r="C157" s="2663"/>
      <c r="D157" s="2663"/>
      <c r="E157" s="2663"/>
      <c r="F157" s="2663"/>
      <c r="G157" s="2664"/>
      <c r="H157" s="2663"/>
      <c r="I157" s="2664"/>
      <c r="J157" s="2663"/>
      <c r="K157" s="2663"/>
      <c r="L157" s="2664"/>
      <c r="M157" s="2663"/>
      <c r="N157" s="2663"/>
      <c r="O157" s="2664"/>
      <c r="P157" s="2663"/>
      <c r="Q157" s="2663"/>
      <c r="R157" s="2665"/>
    </row>
    <row r="158" spans="2:18" s="885" customFormat="1">
      <c r="B158" s="2663"/>
      <c r="C158" s="2663"/>
      <c r="D158" s="2663"/>
      <c r="E158" s="2663"/>
      <c r="F158" s="2663"/>
      <c r="G158" s="2664"/>
      <c r="H158" s="2663"/>
      <c r="I158" s="2664"/>
      <c r="J158" s="2663"/>
      <c r="K158" s="2663"/>
      <c r="L158" s="2664"/>
      <c r="M158" s="2663"/>
      <c r="N158" s="2663"/>
      <c r="O158" s="2664"/>
      <c r="P158" s="2663"/>
      <c r="Q158" s="2663"/>
      <c r="R158" s="2665"/>
    </row>
    <row r="159" spans="2:18" s="885" customFormat="1">
      <c r="B159" s="2663"/>
      <c r="C159" s="2663"/>
      <c r="D159" s="2663"/>
      <c r="E159" s="2663"/>
      <c r="F159" s="2663"/>
      <c r="G159" s="2664"/>
      <c r="H159" s="2663"/>
      <c r="I159" s="2664"/>
      <c r="J159" s="2663"/>
      <c r="K159" s="2663"/>
      <c r="L159" s="2664"/>
      <c r="M159" s="2663"/>
      <c r="N159" s="2663"/>
      <c r="O159" s="2664"/>
      <c r="P159" s="2663"/>
      <c r="Q159" s="2663"/>
      <c r="R159" s="2665"/>
    </row>
    <row r="160" spans="2:18" s="885" customFormat="1">
      <c r="B160" s="2663"/>
      <c r="C160" s="2663"/>
      <c r="D160" s="2663"/>
      <c r="E160" s="2663"/>
      <c r="F160" s="2663"/>
      <c r="G160" s="2664"/>
      <c r="H160" s="2663"/>
      <c r="I160" s="2664"/>
      <c r="J160" s="2663"/>
      <c r="K160" s="2663"/>
      <c r="L160" s="2664"/>
      <c r="M160" s="2663"/>
      <c r="N160" s="2663"/>
      <c r="O160" s="2664"/>
      <c r="P160" s="2663"/>
      <c r="Q160" s="2663"/>
      <c r="R160" s="2665"/>
    </row>
    <row r="161" spans="2:18" s="885" customFormat="1">
      <c r="B161" s="2663"/>
      <c r="C161" s="2663"/>
      <c r="D161" s="2663"/>
      <c r="E161" s="2663"/>
      <c r="F161" s="2663"/>
      <c r="G161" s="2664"/>
      <c r="H161" s="2663"/>
      <c r="I161" s="2664"/>
      <c r="J161" s="2663"/>
      <c r="K161" s="2663"/>
      <c r="L161" s="2664"/>
      <c r="M161" s="2663"/>
      <c r="N161" s="2663"/>
      <c r="O161" s="2664"/>
      <c r="P161" s="2663"/>
      <c r="Q161" s="2663"/>
      <c r="R161" s="2665"/>
    </row>
    <row r="162" spans="2:18" s="885" customFormat="1">
      <c r="B162" s="2663"/>
      <c r="C162" s="2663"/>
      <c r="D162" s="2663"/>
      <c r="E162" s="2663"/>
      <c r="F162" s="2663"/>
      <c r="G162" s="2664"/>
      <c r="H162" s="2663"/>
      <c r="I162" s="2664"/>
      <c r="J162" s="2663"/>
      <c r="K162" s="2663"/>
      <c r="L162" s="2664"/>
      <c r="M162" s="2663"/>
      <c r="N162" s="2663"/>
      <c r="O162" s="2664"/>
      <c r="P162" s="2663"/>
      <c r="Q162" s="2663"/>
      <c r="R162" s="2665"/>
    </row>
    <row r="163" spans="2:18" s="885" customFormat="1">
      <c r="B163" s="2663"/>
      <c r="C163" s="2663"/>
      <c r="D163" s="2663"/>
      <c r="E163" s="2663"/>
      <c r="F163" s="2663"/>
      <c r="G163" s="2664"/>
      <c r="H163" s="2663"/>
      <c r="I163" s="2664"/>
      <c r="J163" s="2663"/>
      <c r="K163" s="2663"/>
      <c r="L163" s="2664"/>
      <c r="M163" s="2663"/>
      <c r="N163" s="2663"/>
      <c r="O163" s="2664"/>
      <c r="P163" s="2663"/>
      <c r="Q163" s="2663"/>
      <c r="R163" s="2665"/>
    </row>
    <row r="164" spans="2:18" s="885" customFormat="1">
      <c r="B164" s="2663"/>
      <c r="C164" s="2663"/>
      <c r="D164" s="2663"/>
      <c r="E164" s="2663"/>
      <c r="F164" s="2663"/>
      <c r="G164" s="2664"/>
      <c r="H164" s="2663"/>
      <c r="I164" s="2664"/>
      <c r="J164" s="2663"/>
      <c r="K164" s="2663"/>
      <c r="L164" s="2664"/>
      <c r="M164" s="2663"/>
      <c r="N164" s="2663"/>
      <c r="O164" s="2664"/>
      <c r="P164" s="2663"/>
      <c r="Q164" s="2663"/>
      <c r="R164" s="2665"/>
    </row>
    <row r="165" spans="2:18" s="885" customFormat="1">
      <c r="B165" s="2663"/>
      <c r="C165" s="2663"/>
      <c r="D165" s="2663"/>
      <c r="E165" s="2663"/>
      <c r="F165" s="2663"/>
      <c r="G165" s="2664"/>
      <c r="H165" s="2663"/>
      <c r="I165" s="2664"/>
      <c r="J165" s="2663"/>
      <c r="K165" s="2663"/>
      <c r="L165" s="2664"/>
      <c r="M165" s="2663"/>
      <c r="N165" s="2663"/>
      <c r="O165" s="2664"/>
      <c r="P165" s="2663"/>
      <c r="Q165" s="2663"/>
      <c r="R165" s="2665"/>
    </row>
    <row r="166" spans="2:18" s="885" customFormat="1">
      <c r="B166" s="2663"/>
      <c r="C166" s="2663"/>
      <c r="D166" s="2663"/>
      <c r="E166" s="2663"/>
      <c r="F166" s="2663"/>
      <c r="G166" s="2664"/>
      <c r="H166" s="2663"/>
      <c r="I166" s="2664"/>
      <c r="J166" s="2663"/>
      <c r="K166" s="2663"/>
      <c r="L166" s="2664"/>
      <c r="M166" s="2663"/>
      <c r="N166" s="2663"/>
      <c r="O166" s="2664"/>
      <c r="P166" s="2663"/>
      <c r="Q166" s="2663"/>
      <c r="R166" s="2665"/>
    </row>
    <row r="167" spans="2:18" s="885" customFormat="1">
      <c r="B167" s="2663"/>
      <c r="C167" s="2663"/>
      <c r="D167" s="2663"/>
      <c r="E167" s="2663"/>
      <c r="F167" s="2663"/>
      <c r="G167" s="2664"/>
      <c r="H167" s="2663"/>
      <c r="I167" s="2664"/>
      <c r="J167" s="2663"/>
      <c r="K167" s="2663"/>
      <c r="L167" s="2664"/>
      <c r="M167" s="2663"/>
      <c r="N167" s="2663"/>
      <c r="O167" s="2664"/>
      <c r="P167" s="2663"/>
      <c r="Q167" s="2663"/>
      <c r="R167" s="2665"/>
    </row>
    <row r="168" spans="2:18" s="885" customFormat="1">
      <c r="B168" s="2663"/>
      <c r="C168" s="2663"/>
      <c r="D168" s="2663"/>
      <c r="E168" s="2663"/>
      <c r="F168" s="2663"/>
      <c r="G168" s="2664"/>
      <c r="H168" s="2663"/>
      <c r="I168" s="2664"/>
      <c r="J168" s="2663"/>
      <c r="K168" s="2663"/>
      <c r="L168" s="2664"/>
      <c r="M168" s="2663"/>
      <c r="N168" s="2663"/>
      <c r="O168" s="2664"/>
      <c r="P168" s="2663"/>
      <c r="Q168" s="2663"/>
      <c r="R168" s="2665"/>
    </row>
    <row r="169" spans="2:18" s="885" customFormat="1">
      <c r="B169" s="2663"/>
      <c r="C169" s="2663"/>
      <c r="D169" s="2663"/>
      <c r="E169" s="2663"/>
      <c r="F169" s="2663"/>
      <c r="G169" s="2664"/>
      <c r="H169" s="2663"/>
      <c r="I169" s="2664"/>
      <c r="J169" s="2663"/>
      <c r="K169" s="2663"/>
      <c r="L169" s="2664"/>
      <c r="M169" s="2663"/>
      <c r="N169" s="2663"/>
      <c r="O169" s="2664"/>
      <c r="P169" s="2663"/>
      <c r="Q169" s="2663"/>
      <c r="R169" s="2665"/>
    </row>
    <row r="170" spans="2:18" s="885" customFormat="1">
      <c r="B170" s="2663"/>
      <c r="C170" s="2663"/>
      <c r="D170" s="2663"/>
      <c r="E170" s="2663"/>
      <c r="F170" s="2663"/>
      <c r="G170" s="2664"/>
      <c r="H170" s="2663"/>
      <c r="I170" s="2664"/>
      <c r="J170" s="2663"/>
      <c r="K170" s="2663"/>
      <c r="L170" s="2664"/>
      <c r="M170" s="2663"/>
      <c r="N170" s="2663"/>
      <c r="O170" s="2664"/>
      <c r="P170" s="2663"/>
      <c r="Q170" s="2663"/>
      <c r="R170" s="2665"/>
    </row>
    <row r="171" spans="2:18" s="885" customFormat="1">
      <c r="B171" s="2663"/>
      <c r="C171" s="2663"/>
      <c r="D171" s="2663"/>
      <c r="E171" s="2663"/>
      <c r="F171" s="2663"/>
      <c r="G171" s="2664"/>
      <c r="H171" s="2663"/>
      <c r="I171" s="2664"/>
      <c r="J171" s="2663"/>
      <c r="K171" s="2663"/>
      <c r="L171" s="2664"/>
      <c r="M171" s="2663"/>
      <c r="N171" s="2663"/>
      <c r="O171" s="2664"/>
      <c r="P171" s="2663"/>
      <c r="Q171" s="2663"/>
      <c r="R171" s="2665"/>
    </row>
    <row r="172" spans="2:18" s="885" customFormat="1">
      <c r="B172" s="2663"/>
      <c r="C172" s="2663"/>
      <c r="D172" s="2663"/>
      <c r="E172" s="2663"/>
      <c r="F172" s="2663"/>
      <c r="G172" s="2664"/>
      <c r="H172" s="2663"/>
      <c r="I172" s="2664"/>
      <c r="J172" s="2663"/>
      <c r="K172" s="2663"/>
      <c r="L172" s="2664"/>
      <c r="M172" s="2663"/>
      <c r="N172" s="2663"/>
      <c r="O172" s="2664"/>
      <c r="P172" s="2663"/>
      <c r="Q172" s="2663"/>
      <c r="R172" s="2665"/>
    </row>
    <row r="173" spans="2:18" s="885" customFormat="1">
      <c r="B173" s="2663"/>
      <c r="C173" s="2663"/>
      <c r="D173" s="2663"/>
      <c r="E173" s="2663"/>
      <c r="F173" s="2663"/>
      <c r="G173" s="2664"/>
      <c r="H173" s="2663"/>
      <c r="I173" s="2664"/>
      <c r="J173" s="2663"/>
      <c r="K173" s="2663"/>
      <c r="L173" s="2664"/>
      <c r="M173" s="2663"/>
      <c r="N173" s="2663"/>
      <c r="O173" s="2664"/>
      <c r="P173" s="2663"/>
      <c r="Q173" s="2663"/>
      <c r="R173" s="2665"/>
    </row>
    <row r="174" spans="2:18" s="885" customFormat="1">
      <c r="B174" s="2663"/>
      <c r="C174" s="2663"/>
      <c r="D174" s="2663"/>
      <c r="E174" s="2663"/>
      <c r="F174" s="2663"/>
      <c r="G174" s="2664"/>
      <c r="H174" s="2663"/>
      <c r="I174" s="2664"/>
      <c r="J174" s="2663"/>
      <c r="K174" s="2663"/>
      <c r="L174" s="2664"/>
      <c r="M174" s="2663"/>
      <c r="N174" s="2663"/>
      <c r="O174" s="2664"/>
      <c r="P174" s="2663"/>
      <c r="Q174" s="2663"/>
      <c r="R174" s="2665"/>
    </row>
    <row r="175" spans="2:18" s="885" customFormat="1">
      <c r="B175" s="2663"/>
      <c r="C175" s="2663"/>
      <c r="D175" s="2663"/>
      <c r="E175" s="2663"/>
      <c r="F175" s="2663"/>
      <c r="G175" s="2664"/>
      <c r="H175" s="2663"/>
      <c r="I175" s="2664"/>
      <c r="J175" s="2663"/>
      <c r="K175" s="2663"/>
      <c r="L175" s="2664"/>
      <c r="M175" s="2663"/>
      <c r="N175" s="2663"/>
      <c r="O175" s="2664"/>
      <c r="P175" s="2663"/>
      <c r="Q175" s="2663"/>
      <c r="R175" s="2665"/>
    </row>
    <row r="176" spans="2:18" s="885" customFormat="1">
      <c r="B176" s="2663"/>
      <c r="C176" s="2663"/>
      <c r="D176" s="2663"/>
      <c r="E176" s="2663"/>
      <c r="F176" s="2663"/>
      <c r="G176" s="2664"/>
      <c r="H176" s="2663"/>
      <c r="I176" s="2664"/>
      <c r="J176" s="2663"/>
      <c r="K176" s="2663"/>
      <c r="L176" s="2664"/>
      <c r="M176" s="2663"/>
      <c r="N176" s="2663"/>
      <c r="O176" s="2664"/>
      <c r="P176" s="2663"/>
      <c r="Q176" s="2663"/>
      <c r="R176" s="2665"/>
    </row>
    <row r="177" spans="1:18" s="885" customFormat="1">
      <c r="B177" s="2663"/>
      <c r="C177" s="2663"/>
      <c r="D177" s="2663"/>
      <c r="E177" s="2663"/>
      <c r="F177" s="2663"/>
      <c r="G177" s="2664"/>
      <c r="H177" s="2663"/>
      <c r="I177" s="2664"/>
      <c r="J177" s="2663"/>
      <c r="K177" s="2663"/>
      <c r="L177" s="2664"/>
      <c r="M177" s="2663"/>
      <c r="N177" s="2663"/>
      <c r="O177" s="2664"/>
      <c r="P177" s="2663"/>
      <c r="Q177" s="2663"/>
      <c r="R177" s="2665"/>
    </row>
    <row r="178" spans="1:18" s="885" customFormat="1">
      <c r="B178" s="2663"/>
      <c r="C178" s="2663"/>
      <c r="D178" s="2663"/>
      <c r="E178" s="2663"/>
      <c r="F178" s="2663"/>
      <c r="G178" s="2664"/>
      <c r="H178" s="2663"/>
      <c r="I178" s="2664"/>
      <c r="J178" s="2663"/>
      <c r="K178" s="2663"/>
      <c r="L178" s="2664"/>
      <c r="M178" s="2663"/>
      <c r="N178" s="2663"/>
      <c r="O178" s="2664"/>
      <c r="P178" s="2663"/>
      <c r="Q178" s="2663"/>
      <c r="R178" s="2665"/>
    </row>
    <row r="179" spans="1:18" s="885" customFormat="1">
      <c r="B179" s="2663"/>
      <c r="C179" s="2663"/>
      <c r="D179" s="2663"/>
      <c r="E179" s="2663"/>
      <c r="F179" s="2663"/>
      <c r="G179" s="2664"/>
      <c r="H179" s="2663"/>
      <c r="I179" s="2664"/>
      <c r="J179" s="2663"/>
      <c r="K179" s="2663"/>
      <c r="L179" s="2664"/>
      <c r="M179" s="2663"/>
      <c r="N179" s="2663"/>
      <c r="O179" s="2664"/>
      <c r="P179" s="2663"/>
      <c r="Q179" s="2663"/>
      <c r="R179" s="2665"/>
    </row>
    <row r="180" spans="1:18" s="885" customFormat="1">
      <c r="B180" s="2663"/>
      <c r="C180" s="2663"/>
      <c r="D180" s="2663"/>
      <c r="E180" s="2663"/>
      <c r="F180" s="2663"/>
      <c r="G180" s="2664"/>
      <c r="H180" s="2663"/>
      <c r="I180" s="2664"/>
      <c r="J180" s="2663"/>
      <c r="K180" s="2663"/>
      <c r="L180" s="2664"/>
      <c r="M180" s="2663"/>
      <c r="N180" s="2663"/>
      <c r="O180" s="2664"/>
      <c r="P180" s="2663"/>
      <c r="Q180" s="2663"/>
      <c r="R180" s="2665"/>
    </row>
    <row r="181" spans="1:18" s="885" customFormat="1">
      <c r="B181" s="2663"/>
      <c r="C181" s="2663"/>
      <c r="D181" s="2663"/>
      <c r="E181" s="2663"/>
      <c r="F181" s="2663"/>
      <c r="G181" s="2664"/>
      <c r="H181" s="2663"/>
      <c r="I181" s="2664"/>
      <c r="J181" s="2663"/>
      <c r="K181" s="2663"/>
      <c r="L181" s="2664"/>
      <c r="M181" s="2663"/>
      <c r="N181" s="2663"/>
      <c r="O181" s="2664"/>
      <c r="P181" s="2663"/>
      <c r="Q181" s="2663"/>
      <c r="R181" s="2665"/>
    </row>
    <row r="182" spans="1:18" s="885" customFormat="1">
      <c r="B182" s="2663"/>
      <c r="C182" s="2663"/>
      <c r="D182" s="2663"/>
      <c r="E182" s="2663"/>
      <c r="F182" s="2663"/>
      <c r="G182" s="2664"/>
      <c r="H182" s="2663"/>
      <c r="I182" s="2664"/>
      <c r="J182" s="2663"/>
      <c r="K182" s="2663"/>
      <c r="L182" s="2664"/>
      <c r="M182" s="2663"/>
      <c r="N182" s="2663"/>
      <c r="O182" s="2664"/>
      <c r="P182" s="2663"/>
      <c r="Q182" s="2663"/>
      <c r="R182" s="2665"/>
    </row>
    <row r="183" spans="1:18" s="885" customFormat="1">
      <c r="B183" s="2663"/>
      <c r="C183" s="2663"/>
      <c r="D183" s="2663"/>
      <c r="E183" s="2663"/>
      <c r="F183" s="2663"/>
      <c r="G183" s="2664"/>
      <c r="H183" s="2663"/>
      <c r="I183" s="2664"/>
      <c r="J183" s="2663"/>
      <c r="K183" s="2663"/>
      <c r="L183" s="2664"/>
      <c r="M183" s="2663"/>
      <c r="N183" s="2663"/>
      <c r="O183" s="2664"/>
      <c r="P183" s="2663"/>
      <c r="Q183" s="2663"/>
      <c r="R183" s="2665"/>
    </row>
    <row r="184" spans="1:18" s="885" customFormat="1">
      <c r="B184" s="2663"/>
      <c r="C184" s="2663"/>
      <c r="D184" s="2663"/>
      <c r="E184" s="2663"/>
      <c r="F184" s="2663"/>
      <c r="G184" s="2664"/>
      <c r="H184" s="2663"/>
      <c r="I184" s="2664"/>
      <c r="J184" s="2663"/>
      <c r="K184" s="2663"/>
      <c r="L184" s="2664"/>
      <c r="M184" s="2663"/>
      <c r="N184" s="2663"/>
      <c r="O184" s="2664"/>
      <c r="P184" s="2663"/>
      <c r="Q184" s="2663"/>
      <c r="R184" s="2665"/>
    </row>
    <row r="185" spans="1:18" s="885"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5"/>
      <c r="B186" s="2663"/>
      <c r="C186" s="2663"/>
      <c r="E186" s="2663"/>
      <c r="F186" s="2663"/>
      <c r="G186" s="2664"/>
    </row>
    <row r="187" spans="1:18">
      <c r="A187" s="885"/>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P35" sqref="P35"/>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3836.1200000000003</v>
      </c>
      <c r="C1" s="2861"/>
      <c r="D1" s="2861"/>
      <c r="E1" s="2861"/>
      <c r="F1" s="2861"/>
      <c r="G1" s="2862"/>
      <c r="H1" s="2863"/>
      <c r="I1" s="2863"/>
      <c r="J1" s="2863"/>
      <c r="K1" s="2863"/>
    </row>
    <row r="2" spans="1:11" ht="16.5">
      <c r="A2" s="2684" t="s">
        <v>1078</v>
      </c>
      <c r="B2" s="2684">
        <f ca="1">SUM(C14:C23)</f>
        <v>0</v>
      </c>
      <c r="C2" s="2861"/>
      <c r="D2" s="2861"/>
      <c r="E2" s="2861"/>
      <c r="F2" s="2861"/>
      <c r="G2" s="2862"/>
      <c r="H2" s="2863"/>
      <c r="I2" s="2863"/>
      <c r="J2" s="2863"/>
      <c r="K2" s="2863"/>
    </row>
    <row r="3" spans="1:11" ht="16.5">
      <c r="A3" s="2684" t="s">
        <v>1087</v>
      </c>
      <c r="B3" s="2686">
        <f>项目基本情况!D3</f>
        <v>44788</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t="e">
        <f ca="1">SUM(D14:D23)</f>
        <v>#DIV/0!</v>
      </c>
      <c r="C5" s="2684" t="e">
        <f ca="1">ROUND(B5*10000/$B$1,0)</f>
        <v>#DIV/0!</v>
      </c>
      <c r="D5" s="2684" t="e">
        <f ca="1">ROUND(B5*10000/$B$2,0)</f>
        <v>#DIV/0!</v>
      </c>
      <c r="E5" s="2861"/>
      <c r="F5" s="2862"/>
      <c r="G5" s="2862"/>
      <c r="H5" s="2863"/>
      <c r="I5" s="2863"/>
      <c r="J5" s="2863"/>
      <c r="K5" s="2863"/>
    </row>
    <row r="6" spans="1:11" ht="16.5">
      <c r="A6" s="2684" t="s">
        <v>1081</v>
      </c>
      <c r="B6" s="2684" t="e">
        <f ca="1">SUM(G14:G23)</f>
        <v>#DIV/0!</v>
      </c>
      <c r="C6" s="2684" t="e">
        <f ca="1">ROUND(B6*10000/$B$1,0)</f>
        <v>#DIV/0!</v>
      </c>
      <c r="D6" s="2684" t="e">
        <f ca="1">ROUND(B6*10000/$B$2,0)</f>
        <v>#DIV/0!</v>
      </c>
      <c r="E6" s="2861"/>
      <c r="F6" s="2862"/>
      <c r="G6" s="2862"/>
      <c r="H6" s="2863"/>
      <c r="I6" s="2863"/>
      <c r="J6" s="2863"/>
      <c r="K6" s="2863"/>
    </row>
    <row r="7" spans="1:11" ht="16.5">
      <c r="A7" s="2684" t="s">
        <v>1089</v>
      </c>
      <c r="B7" s="2684">
        <f>SUM(H14:H23)</f>
        <v>0</v>
      </c>
      <c r="C7" s="2684">
        <f>ROUND(B7*10000/$B$1,0)</f>
        <v>0</v>
      </c>
      <c r="D7" s="2684" t="e">
        <f ca="1">ROUND(B7*10000/$B$2,0)</f>
        <v>#DIV/0!</v>
      </c>
      <c r="E7" s="2861"/>
      <c r="F7" s="2862"/>
      <c r="G7" s="2862"/>
      <c r="H7" s="2863"/>
      <c r="I7" s="2863"/>
      <c r="J7" s="2863"/>
      <c r="K7" s="2863"/>
    </row>
    <row r="8" spans="1:11" ht="16.5">
      <c r="A8" s="2684" t="s">
        <v>1012</v>
      </c>
      <c r="B8" s="2684">
        <f>SUM(I14:I23)</f>
        <v>0</v>
      </c>
      <c r="C8" s="2684">
        <f>ROUND(B8*10000/$B$1,0)</f>
        <v>0</v>
      </c>
      <c r="D8" s="2684" t="e">
        <f ca="1">ROUND(B8*10000/$B$2,0)</f>
        <v>#DIV/0!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3836.1200000000003</v>
      </c>
      <c r="C14" s="2690">
        <f>结果表!C118</f>
        <v>0</v>
      </c>
      <c r="D14" s="2690">
        <f ca="1">结果表!H118</f>
        <v>7733</v>
      </c>
      <c r="E14" s="2690">
        <f ca="1">ROUND(D14*10000/B14,0)</f>
        <v>20158</v>
      </c>
      <c r="F14" s="2690" t="e">
        <f ca="1">ROUND(D14*10000/C14,0)</f>
        <v>#DIV/0!</v>
      </c>
      <c r="G14" s="2690">
        <f ca="1">结果表!D122</f>
        <v>7733</v>
      </c>
      <c r="H14" s="2690" t="str">
        <f>结果表!D124</f>
        <v>——</v>
      </c>
      <c r="I14" s="2690" t="str">
        <f>结果表!D126</f>
        <v>——</v>
      </c>
      <c r="J14" s="2862"/>
      <c r="K14" s="2863"/>
    </row>
    <row r="15" spans="1:11" ht="16.5">
      <c r="A15" s="2689" t="s">
        <v>1074</v>
      </c>
      <c r="B15" s="2691">
        <f>'数据-汇总表'!E20</f>
        <v>0</v>
      </c>
      <c r="C15" s="2691">
        <f ca="1">'收益法-车库'!F35</f>
        <v>0</v>
      </c>
      <c r="D15" s="2691" t="e">
        <f ca="1">'结果表 (2)'!G19</f>
        <v>#DIV/0!</v>
      </c>
      <c r="E15" s="2690" t="e">
        <f t="shared" ref="E15:E23" ca="1" si="0">ROUND(D15*10000/B15,0)</f>
        <v>#DIV/0!</v>
      </c>
      <c r="F15" s="2690" t="e">
        <f t="shared" ref="F15:F23" ca="1" si="1">ROUND(D15*10000/C15,0)</f>
        <v>#DIV/0!</v>
      </c>
      <c r="G15" s="1449" t="e">
        <f ca="1">D15</f>
        <v>#DIV/0!</v>
      </c>
      <c r="H15" s="1449"/>
      <c r="I15" s="2691"/>
      <c r="J15" s="2862"/>
      <c r="K15" s="2863"/>
    </row>
    <row r="16" spans="1:11" ht="16.5">
      <c r="A16" s="2689" t="s">
        <v>1073</v>
      </c>
      <c r="B16" s="2691"/>
      <c r="C16" s="2691"/>
      <c r="D16" s="2691"/>
      <c r="E16" s="2690" t="e">
        <f t="shared" si="0"/>
        <v>#DIV/0!</v>
      </c>
      <c r="F16" s="2690" t="e">
        <f t="shared" si="1"/>
        <v>#DIV/0!</v>
      </c>
      <c r="G16" s="1449"/>
      <c r="H16" s="1449"/>
      <c r="I16" s="2691"/>
      <c r="J16" s="2863"/>
      <c r="K16" s="2863"/>
    </row>
    <row r="17" spans="1:11" ht="16.5">
      <c r="A17" s="2689" t="s">
        <v>1072</v>
      </c>
      <c r="B17" s="2691"/>
      <c r="C17" s="2691"/>
      <c r="D17" s="2691"/>
      <c r="E17" s="2690" t="e">
        <f t="shared" si="0"/>
        <v>#DIV/0!</v>
      </c>
      <c r="F17" s="2690" t="e">
        <f t="shared" si="1"/>
        <v>#DIV/0!</v>
      </c>
      <c r="G17" s="1449"/>
      <c r="H17" s="1449"/>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L27" sqref="L27"/>
    </sheetView>
  </sheetViews>
  <sheetFormatPr defaultColWidth="12.625" defaultRowHeight="21.75" customHeight="1"/>
  <cols>
    <col min="1" max="2" width="12.625" style="1886"/>
    <col min="3" max="4" width="12.625" style="1886" customWidth="1"/>
    <col min="5" max="9" width="12.625" style="1886"/>
    <col min="10" max="11" width="12.625" style="734" customWidth="1"/>
    <col min="12" max="12" width="12.625" style="734"/>
    <col min="13" max="13" width="14.125" style="734" bestFit="1" customWidth="1"/>
    <col min="14" max="26" width="12.625" style="734"/>
    <col min="27" max="35" width="12.625" style="1885"/>
    <col min="36" max="16384" width="12.625" style="1886"/>
  </cols>
  <sheetData>
    <row r="1" spans="1:12" ht="21.75" customHeight="1" thickBot="1">
      <c r="A1" s="1770" t="s">
        <v>1707</v>
      </c>
      <c r="B1" s="1880"/>
      <c r="C1" s="1881"/>
      <c r="D1" s="1880"/>
      <c r="E1" s="1880"/>
      <c r="F1" s="1882" t="s">
        <v>1708</v>
      </c>
      <c r="G1" s="1694"/>
      <c r="H1" s="1883" t="str">
        <f>IF(G1="现房","——","估价对象范围")</f>
        <v>估价对象范围</v>
      </c>
      <c r="I1" s="1884"/>
    </row>
    <row r="2" spans="1:12" ht="21.75" customHeight="1" thickBot="1">
      <c r="A2" s="3367" t="str">
        <f>项目基本情况!S2</f>
        <v>北京市房地产</v>
      </c>
      <c r="B2" s="3368"/>
      <c r="C2" s="3368"/>
      <c r="D2" s="3368"/>
      <c r="E2" s="3368"/>
      <c r="F2" s="3368"/>
      <c r="G2" s="3368"/>
      <c r="H2" s="3368"/>
      <c r="I2" s="3369"/>
    </row>
    <row r="3" spans="1:12" ht="12.75">
      <c r="A3" s="3370" t="s">
        <v>1709</v>
      </c>
      <c r="B3" s="3371"/>
      <c r="C3" s="3371"/>
      <c r="D3" s="3371"/>
      <c r="E3" s="3371"/>
      <c r="F3" s="3371"/>
      <c r="G3" s="3371"/>
      <c r="H3" s="3371"/>
      <c r="I3" s="3371"/>
    </row>
    <row r="4" spans="1:12" ht="14.25">
      <c r="A4" s="1887" t="s">
        <v>1710</v>
      </c>
      <c r="B4" s="1888" t="s">
        <v>1711</v>
      </c>
      <c r="C4" s="1889" t="s">
        <v>3186</v>
      </c>
      <c r="D4" s="1889" t="s">
        <v>3191</v>
      </c>
      <c r="E4" s="3372" t="s">
        <v>1712</v>
      </c>
      <c r="F4" s="3373"/>
      <c r="G4" s="3373"/>
      <c r="H4" s="3373"/>
      <c r="I4" s="3374"/>
      <c r="K4" s="151" t="str">
        <f>IF(ISNUMBER(FIND("比较法",'结果表 (2)'!C4)),"比较法",IF(ISNUMBER(FIND("成本法",'结果表 (2)'!C4)),"成本法",IF(ISNUMBER(FIND("假设开发法",'结果表 (2)'!C4)),"假设开发法",IF(ISNUMBER(FIND("收益法",'结果表 (2)'!C4)),"收益法","基准地价系数修正法"))))</f>
        <v>成本法</v>
      </c>
      <c r="L4" s="151" t="str">
        <f>IF(ISNUMBER(FIND("比较法",'结果表 (2)'!D4)),"比较法",IF(ISNUMBER(FIND("成本法",'结果表 (2)'!D4)),"成本法",IF(ISNUMBER(FIND("假设开发法",'结果表 (2)'!D4)),"假设开发法",IF(ISNUMBER(FIND("收益法",'结果表 (2)'!D4)),"收益法","基准地价系数修正法"))))</f>
        <v>收益法</v>
      </c>
    </row>
    <row r="5" spans="1:12" ht="12.75">
      <c r="A5" s="3362" t="s">
        <v>1713</v>
      </c>
      <c r="B5" s="3363">
        <v>25</v>
      </c>
      <c r="C5" s="3364"/>
      <c r="D5" s="3366"/>
      <c r="E5" s="136" t="s">
        <v>1714</v>
      </c>
      <c r="F5" s="1890"/>
      <c r="G5" s="1890"/>
      <c r="H5" s="1890"/>
      <c r="I5" s="1505"/>
    </row>
    <row r="6" spans="1:12" ht="12.75">
      <c r="A6" s="3362"/>
      <c r="B6" s="3363"/>
      <c r="C6" s="3375"/>
      <c r="D6" s="3366"/>
      <c r="E6" s="136" t="s">
        <v>1715</v>
      </c>
      <c r="F6" s="1890"/>
      <c r="G6" s="1890"/>
      <c r="H6" s="1890"/>
      <c r="I6" s="1505"/>
    </row>
    <row r="7" spans="1:12" ht="12.75">
      <c r="A7" s="3362"/>
      <c r="B7" s="3363"/>
      <c r="C7" s="3365"/>
      <c r="D7" s="3366"/>
      <c r="E7" s="136" t="s">
        <v>1716</v>
      </c>
      <c r="F7" s="1890"/>
      <c r="G7" s="1890"/>
      <c r="H7" s="1890"/>
      <c r="I7" s="1505"/>
    </row>
    <row r="8" spans="1:12" ht="12.75">
      <c r="A8" s="3362" t="s">
        <v>1717</v>
      </c>
      <c r="B8" s="3363">
        <v>15</v>
      </c>
      <c r="C8" s="3364"/>
      <c r="D8" s="3366"/>
      <c r="E8" s="136" t="s">
        <v>1718</v>
      </c>
      <c r="F8" s="1890"/>
      <c r="G8" s="1890"/>
      <c r="H8" s="1890"/>
      <c r="I8" s="1505"/>
    </row>
    <row r="9" spans="1:12" ht="12.75">
      <c r="A9" s="3362"/>
      <c r="B9" s="3363"/>
      <c r="C9" s="3365"/>
      <c r="D9" s="3366"/>
      <c r="E9" s="136" t="s">
        <v>1719</v>
      </c>
      <c r="F9" s="1890"/>
      <c r="G9" s="1890"/>
      <c r="H9" s="1890"/>
      <c r="I9" s="1505"/>
    </row>
    <row r="10" spans="1:12" ht="12.75">
      <c r="A10" s="3362" t="s">
        <v>1720</v>
      </c>
      <c r="B10" s="3363">
        <v>15</v>
      </c>
      <c r="C10" s="3364"/>
      <c r="D10" s="3366"/>
      <c r="E10" s="136" t="s">
        <v>1721</v>
      </c>
      <c r="F10" s="1890"/>
      <c r="G10" s="1890"/>
      <c r="H10" s="1890"/>
      <c r="I10" s="1505"/>
    </row>
    <row r="11" spans="1:12" ht="12.75">
      <c r="A11" s="3362"/>
      <c r="B11" s="3363"/>
      <c r="C11" s="3365"/>
      <c r="D11" s="3366"/>
      <c r="E11" s="136" t="s">
        <v>1722</v>
      </c>
      <c r="F11" s="1890"/>
      <c r="G11" s="1890"/>
      <c r="H11" s="1890"/>
      <c r="I11" s="1505"/>
    </row>
    <row r="12" spans="1:12" ht="12.75">
      <c r="A12" s="3362" t="s">
        <v>1723</v>
      </c>
      <c r="B12" s="3363">
        <v>15</v>
      </c>
      <c r="C12" s="3364"/>
      <c r="D12" s="3366"/>
      <c r="E12" s="136" t="s">
        <v>1724</v>
      </c>
      <c r="F12" s="1890"/>
      <c r="G12" s="1890"/>
      <c r="H12" s="1890"/>
      <c r="I12" s="1505"/>
    </row>
    <row r="13" spans="1:12" ht="12.75">
      <c r="A13" s="3362"/>
      <c r="B13" s="3363"/>
      <c r="C13" s="3365"/>
      <c r="D13" s="3366"/>
      <c r="E13" s="136" t="s">
        <v>1725</v>
      </c>
      <c r="F13" s="1890"/>
      <c r="G13" s="1890"/>
      <c r="H13" s="1890"/>
      <c r="I13" s="1505"/>
    </row>
    <row r="14" spans="1:12" ht="12.75">
      <c r="A14" s="3362" t="s">
        <v>1726</v>
      </c>
      <c r="B14" s="3363">
        <v>30</v>
      </c>
      <c r="C14" s="3364">
        <v>4</v>
      </c>
      <c r="D14" s="3366">
        <v>6</v>
      </c>
      <c r="E14" s="136" t="s">
        <v>1727</v>
      </c>
      <c r="F14" s="1890"/>
      <c r="G14" s="1890"/>
      <c r="H14" s="1890"/>
      <c r="I14" s="1505"/>
    </row>
    <row r="15" spans="1:12" ht="12.75">
      <c r="A15" s="3362"/>
      <c r="B15" s="3363"/>
      <c r="C15" s="3375"/>
      <c r="D15" s="3366"/>
      <c r="E15" s="136" t="s">
        <v>1728</v>
      </c>
      <c r="F15" s="1890"/>
      <c r="G15" s="1890"/>
      <c r="H15" s="1890"/>
      <c r="I15" s="1505"/>
    </row>
    <row r="16" spans="1:12" ht="12.75">
      <c r="A16" s="3362"/>
      <c r="B16" s="3363"/>
      <c r="C16" s="3365"/>
      <c r="D16" s="3366"/>
      <c r="E16" s="136" t="s">
        <v>1729</v>
      </c>
      <c r="F16" s="1890"/>
      <c r="G16" s="1890"/>
      <c r="H16" s="1890"/>
      <c r="I16" s="1505"/>
    </row>
    <row r="17" spans="1:36" ht="15">
      <c r="A17" s="1891" t="s">
        <v>1730</v>
      </c>
      <c r="B17" s="60"/>
      <c r="C17" s="137">
        <f>SUM(C5:C16)</f>
        <v>4</v>
      </c>
      <c r="D17" s="137">
        <f>SUM(D5:D16)</f>
        <v>6</v>
      </c>
      <c r="E17" s="134"/>
      <c r="F17" s="134"/>
      <c r="G17" s="134"/>
      <c r="H17" s="134"/>
      <c r="I17" s="134"/>
      <c r="K17" s="308"/>
      <c r="L17" s="308" t="s">
        <v>1731</v>
      </c>
      <c r="M17" s="308" t="s">
        <v>1732</v>
      </c>
    </row>
    <row r="18" spans="1:36" ht="31.9" customHeight="1" thickBot="1">
      <c r="A18" s="1892" t="s">
        <v>1733</v>
      </c>
      <c r="B18" s="1893"/>
      <c r="C18" s="138">
        <f>ROUND(C17/SUM(C17:D17),2)</f>
        <v>0.4</v>
      </c>
      <c r="D18" s="138">
        <f>1-C18</f>
        <v>0.6</v>
      </c>
      <c r="E18" s="3376" t="s">
        <v>2631</v>
      </c>
      <c r="F18" s="3377"/>
      <c r="G18" s="3377"/>
      <c r="H18" s="3377"/>
      <c r="I18" s="3377"/>
      <c r="K18" s="308" t="s">
        <v>1734</v>
      </c>
      <c r="L18" s="308">
        <f>IF(C1="",'数据-汇总表'!E3,SUMIF(项目类型,C1,'数据-汇总表'!E17:E26)+SUMIF(项目类型,C1,'数据-汇总表'!I17:I26))</f>
        <v>3836.1200000000003</v>
      </c>
      <c r="M18" s="308">
        <f>IF(C1="",'数据-汇总表'!E3,SUMIF(项目类型,C1,'数据-汇总表'!E17:E26))</f>
        <v>3836.1200000000003</v>
      </c>
    </row>
    <row r="19" spans="1:36" ht="15">
      <c r="A19" s="1894" t="s">
        <v>1735</v>
      </c>
      <c r="B19" s="1895" t="s">
        <v>1736</v>
      </c>
      <c r="C19" s="139">
        <f ca="1">SUMIF(INDIRECT("'"&amp;C4&amp;"'"&amp;"!A:A"),'结果表 (2)'!B19,INDIRECT("'"&amp;C4&amp;"'"&amp;"!B:B"))</f>
        <v>7660</v>
      </c>
      <c r="D19" s="140" t="e">
        <f ca="1">SUMIF(INDIRECT("'"&amp;D4&amp;"'"&amp;"!A:A"),'结果表 (2)'!B19,INDIRECT("'"&amp;D4&amp;"'"&amp;"!B:B"))</f>
        <v>#DIV/0!</v>
      </c>
      <c r="E19" s="1894" t="s">
        <v>1737</v>
      </c>
      <c r="F19" s="1895" t="s">
        <v>1736</v>
      </c>
      <c r="G19" s="141" t="e">
        <f ca="1">ROUND(C19*$C$18+D19*$D$18,0)</f>
        <v>#DIV/0!</v>
      </c>
      <c r="H19" s="1896"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897"/>
      <c r="B20" s="1135" t="s">
        <v>1740</v>
      </c>
      <c r="C20" s="142">
        <f ca="1">SUMIF(INDIRECT("'"&amp;C4&amp;"'"&amp;"!A:A"),'结果表 (2)'!B20,INDIRECT("'"&amp;C4&amp;"'"&amp;"!B:B"))</f>
        <v>19968</v>
      </c>
      <c r="D20" s="143">
        <f ca="1">SUMIF(INDIRECT("'"&amp;D4&amp;"'"&amp;"!A:A"),'结果表 (2)'!B20,INDIRECT("'"&amp;D4&amp;"'"&amp;"!B:B"))</f>
        <v>0</v>
      </c>
      <c r="E20" s="1897"/>
      <c r="F20" s="1135" t="s">
        <v>1740</v>
      </c>
      <c r="G20" s="144">
        <f ca="1">ROUND(C20*$C$18+D20*$D$18,0)</f>
        <v>7987</v>
      </c>
      <c r="H20" s="895" t="s">
        <v>1741</v>
      </c>
      <c r="I20" s="134">
        <f ca="1">G20*35</f>
        <v>279545</v>
      </c>
    </row>
    <row r="21" spans="1:36" ht="15" customHeight="1" thickBot="1">
      <c r="A21" s="915"/>
      <c r="B21" s="1898" t="s">
        <v>1742</v>
      </c>
      <c r="C21" s="728" t="e">
        <f ca="1">ROUND(C19*10000/L19,0)</f>
        <v>#DIV/0!</v>
      </c>
      <c r="D21" s="729" t="e">
        <f ca="1">ROUND(D19*10000/L19,0)</f>
        <v>#DIV/0!</v>
      </c>
      <c r="E21" s="915"/>
      <c r="F21" s="1898" t="s">
        <v>1742</v>
      </c>
      <c r="G21" s="145" t="e">
        <f ca="1">ROUND(G19*10000/L19,0)</f>
        <v>#DIV/0!</v>
      </c>
      <c r="H21" s="1899" t="s">
        <v>1741</v>
      </c>
      <c r="I21" s="134"/>
    </row>
    <row r="22" spans="1:36" ht="15" thickBot="1">
      <c r="A22" s="1821" t="s">
        <v>1743</v>
      </c>
      <c r="B22" s="1900"/>
      <c r="C22" s="1901"/>
      <c r="D22" s="730" t="e">
        <f ca="1">IF(C19&lt;D19,D19/C19-1,C19/D19-1)</f>
        <v>#DIV/0!</v>
      </c>
      <c r="E22" s="134"/>
      <c r="F22" s="134"/>
      <c r="G22" s="134"/>
      <c r="H22" s="134"/>
      <c r="I22" s="134"/>
    </row>
    <row r="23" spans="1:36" ht="13.5" thickBot="1">
      <c r="A23" s="1880"/>
      <c r="B23" s="1880"/>
      <c r="C23" s="1880"/>
      <c r="D23" s="1880"/>
      <c r="E23" s="134"/>
      <c r="F23" s="134"/>
      <c r="G23" s="134"/>
      <c r="H23" s="134"/>
      <c r="I23" s="134"/>
    </row>
    <row r="24" spans="1:36" ht="14.25">
      <c r="A24" s="3378" t="s">
        <v>1744</v>
      </c>
      <c r="B24" s="1895" t="s">
        <v>1736</v>
      </c>
      <c r="C24" s="141">
        <f>IF(B30=0,0,D30)</f>
        <v>0</v>
      </c>
      <c r="D24" s="1902"/>
      <c r="E24" s="134"/>
      <c r="F24" s="134"/>
      <c r="G24" s="134"/>
      <c r="H24" s="134"/>
      <c r="I24" s="134"/>
    </row>
    <row r="25" spans="1:36" ht="14.25">
      <c r="A25" s="3379"/>
      <c r="B25" s="1135"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8" t="s">
        <v>2632</v>
      </c>
      <c r="F30" s="134"/>
      <c r="G30" s="134"/>
      <c r="H30" s="134"/>
      <c r="I30" s="134"/>
    </row>
    <row r="31" spans="1:36" s="2474" customFormat="1" ht="26.45" customHeight="1" thickTop="1" thickBot="1">
      <c r="A31" s="2469"/>
      <c r="B31" s="2470"/>
      <c r="C31" s="2470"/>
      <c r="D31" s="2470"/>
      <c r="E31" s="2470"/>
      <c r="F31" s="2470"/>
      <c r="G31" s="2470"/>
      <c r="H31" s="2470"/>
      <c r="I31" s="2471" t="s">
        <v>2633</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1750</v>
      </c>
      <c r="B32" s="1907"/>
      <c r="C32" s="149" t="e">
        <f ca="1">IF(D32="总价",G19-C24,G20-C25)</f>
        <v>#DIV/0!</v>
      </c>
      <c r="D32" s="1908" t="s">
        <v>3195</v>
      </c>
      <c r="E32" s="134"/>
      <c r="F32" s="134"/>
      <c r="G32" s="134"/>
      <c r="H32" s="134"/>
      <c r="I32" s="134"/>
    </row>
    <row r="33" spans="1:15" ht="15">
      <c r="A33" s="872" t="s">
        <v>1751</v>
      </c>
      <c r="B33" s="1909"/>
      <c r="C33" s="1910" t="s">
        <v>3196</v>
      </c>
      <c r="D33" s="1911" t="s">
        <v>3186</v>
      </c>
      <c r="E33" s="1912" t="s">
        <v>1752</v>
      </c>
      <c r="F33" s="1913" t="str">
        <f>IF(D32="楼面单价","取值（单价）","取值（总价）")</f>
        <v>取值（总价）</v>
      </c>
      <c r="G33" s="134"/>
      <c r="H33" s="134"/>
      <c r="I33" s="134"/>
    </row>
    <row r="34" spans="1:15" ht="15">
      <c r="A34" s="1914"/>
      <c r="B34" s="1915" t="s">
        <v>1753</v>
      </c>
      <c r="C34" s="153" t="e">
        <f ca="1">IF(C33="自定义",F34,C32-C35)</f>
        <v>#DIV/0!</v>
      </c>
      <c r="D34" s="948">
        <f ca="1">IF(C33="自定义",ROUND(C34/C32,3),IF(C33="收益比率",SUMIF(INDIRECT("'"&amp;D33&amp;"'"&amp;"!b:b"),"土地收益比率",INDIRECT("'"&amp;D33&amp;"'"&amp;"!c:c")),SUMIF(INDIRECT("'"&amp;D33&amp;"'"&amp;"!b:b"),"土地成本比率",INDIRECT("'"&amp;D33&amp;"'"&amp;"!c:c"))))</f>
        <v>0.68100000000000005</v>
      </c>
      <c r="E34" s="1916" t="s">
        <v>1754</v>
      </c>
      <c r="F34" s="1448"/>
      <c r="G34" s="134"/>
      <c r="H34" s="134"/>
      <c r="I34" s="134"/>
    </row>
    <row r="35" spans="1:15" ht="15.75" thickBot="1">
      <c r="A35" s="1917"/>
      <c r="B35" s="1918" t="s">
        <v>1755</v>
      </c>
      <c r="C35" s="1282" t="e">
        <f ca="1">IF(C33="自定义",F35,ROUND(C32*D35,0))</f>
        <v>#DIV/0!</v>
      </c>
      <c r="D35" s="1283">
        <f ca="1">IF(C33="自定义",ROUND(C35/C32,3),IF(C33="收益比率",SUMIF(INDIRECT("'"&amp;D33&amp;"'"&amp;"!b:b"),"建筑物收益比率",INDIRECT("'"&amp;D33&amp;"'"&amp;"!c:c")),SUMIF(INDIRECT("'"&amp;D33&amp;"'"&amp;"!b:b"),"建筑物成本比率",INDIRECT("'"&amp;D33&amp;"'"&amp;"!c:c"))))</f>
        <v>0.31900000000000001</v>
      </c>
      <c r="E35" s="1919" t="s">
        <v>1756</v>
      </c>
      <c r="F35" s="159"/>
      <c r="G35" s="134"/>
      <c r="H35" s="134"/>
      <c r="I35" s="134"/>
    </row>
    <row r="36" spans="1:15" ht="15.75" thickBot="1">
      <c r="A36" s="3380" t="s">
        <v>1757</v>
      </c>
      <c r="B36" s="1920" t="s">
        <v>1758</v>
      </c>
      <c r="C36" s="150"/>
      <c r="D36" s="1921"/>
      <c r="E36" s="1922"/>
      <c r="F36" s="1923"/>
      <c r="G36" s="134"/>
      <c r="H36" s="134"/>
      <c r="I36" s="134"/>
    </row>
    <row r="37" spans="1:15" ht="15.75" thickBot="1">
      <c r="A37" s="3381"/>
      <c r="B37" s="1807" t="s">
        <v>1759</v>
      </c>
      <c r="C37" s="152"/>
      <c r="D37" s="1251"/>
      <c r="E37" s="1251"/>
      <c r="F37" s="1923"/>
      <c r="G37" s="134"/>
      <c r="H37" s="134"/>
      <c r="I37" s="134"/>
    </row>
    <row r="38" spans="1:15" ht="15.75" thickBot="1">
      <c r="A38" s="3382"/>
      <c r="B38" s="1924" t="s">
        <v>1760</v>
      </c>
      <c r="C38" s="683"/>
      <c r="D38" s="1925" t="s">
        <v>1761</v>
      </c>
      <c r="E38" s="1251"/>
      <c r="F38" s="1923"/>
      <c r="G38" s="134"/>
      <c r="H38" s="134"/>
      <c r="I38" s="134"/>
    </row>
    <row r="39" spans="1:15" ht="15">
      <c r="A39" s="1897" t="s">
        <v>1762</v>
      </c>
      <c r="B39" s="1926" t="s">
        <v>1746</v>
      </c>
      <c r="C39" s="1927" t="s">
        <v>1747</v>
      </c>
      <c r="D39" s="1927" t="s">
        <v>1765</v>
      </c>
      <c r="E39" s="1928" t="s">
        <v>1748</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10"/>
      <c r="B43" s="1710"/>
      <c r="C43" s="1710"/>
      <c r="D43" s="1710"/>
      <c r="E43" s="1710"/>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383" t="s">
        <v>1771</v>
      </c>
      <c r="B45" s="3384"/>
      <c r="C45" s="3385"/>
      <c r="D45" s="160" t="e">
        <f ca="1">ROUND(H101*F45,0)</f>
        <v>#DIV/0!</v>
      </c>
      <c r="E45" s="161" t="s">
        <v>1772</v>
      </c>
      <c r="F45" s="162">
        <v>0.56000000000000005</v>
      </c>
      <c r="G45" s="163" t="s">
        <v>1773</v>
      </c>
      <c r="H45" s="134"/>
      <c r="I45" s="134"/>
      <c r="J45" s="3386" t="s">
        <v>1774</v>
      </c>
      <c r="K45" s="3386"/>
      <c r="L45" s="3386"/>
      <c r="M45" s="3386"/>
      <c r="N45" s="3386"/>
      <c r="O45" s="3386"/>
    </row>
    <row r="46" spans="1:15" ht="14.25" customHeight="1">
      <c r="A46" s="3387" t="s">
        <v>1775</v>
      </c>
      <c r="B46" s="3388"/>
      <c r="C46" s="3388"/>
      <c r="D46" s="3388"/>
      <c r="E46" s="3388"/>
      <c r="F46" s="3388"/>
      <c r="G46" s="3389"/>
      <c r="H46" s="1939"/>
      <c r="I46" s="164"/>
      <c r="J46" s="3245">
        <v>1</v>
      </c>
      <c r="K46" s="3390" t="s">
        <v>1776</v>
      </c>
      <c r="L46" s="3390"/>
      <c r="M46" s="3391"/>
      <c r="N46" s="3391"/>
      <c r="O46" s="3391"/>
    </row>
    <row r="47" spans="1:15" ht="12" customHeight="1">
      <c r="A47" s="165" t="s">
        <v>1777</v>
      </c>
      <c r="B47" s="166"/>
      <c r="C47" s="167"/>
      <c r="D47" s="1197" t="s">
        <v>1778</v>
      </c>
      <c r="E47" s="308" t="s">
        <v>1779</v>
      </c>
      <c r="F47" s="168" t="s">
        <v>1780</v>
      </c>
      <c r="G47" s="2718" t="s">
        <v>1781</v>
      </c>
      <c r="H47" s="2719"/>
      <c r="I47" s="164"/>
      <c r="J47" s="3245">
        <v>2</v>
      </c>
      <c r="K47" s="3390" t="s">
        <v>1782</v>
      </c>
      <c r="L47" s="3390"/>
      <c r="M47" s="3396">
        <f>'数据-取费表'!B2</f>
        <v>44788</v>
      </c>
      <c r="N47" s="3396"/>
      <c r="O47" s="3396"/>
    </row>
    <row r="48" spans="1:15" ht="25.5">
      <c r="A48" s="3397" t="s">
        <v>1783</v>
      </c>
      <c r="B48" s="3398"/>
      <c r="C48" s="3398"/>
      <c r="D48" s="3242" t="e">
        <f ca="1">IF(H48="情况1",0,IF(H48="情况2",D52,IF(H48="情况3",D53,IF(H48="情况4",D54))))</f>
        <v>#DIV/0!</v>
      </c>
      <c r="E48" s="3255" t="str">
        <f>IF(H48="情况4","(销售额-原购置价)×税（费）率","销售额×税（费）率")</f>
        <v>销售额×税（费）率</v>
      </c>
      <c r="F48" s="2720">
        <f>IF(H48="情况1","免征",'数据-取费表'!B41)</f>
        <v>5.5000000000000007E-2</v>
      </c>
      <c r="G48" s="2721" t="s">
        <v>1784</v>
      </c>
      <c r="H48" s="2722" t="s">
        <v>3197</v>
      </c>
      <c r="I48" s="1939"/>
      <c r="J48" s="3245">
        <v>3</v>
      </c>
      <c r="K48" s="3390" t="s">
        <v>1785</v>
      </c>
      <c r="L48" s="3390"/>
      <c r="M48" s="3399" t="e">
        <f ca="1">H101</f>
        <v>#DIV/0!</v>
      </c>
      <c r="N48" s="3399"/>
      <c r="O48" s="3399"/>
    </row>
    <row r="49" spans="1:35" ht="25.5" customHeight="1">
      <c r="A49" s="3254" t="s">
        <v>1786</v>
      </c>
      <c r="B49" s="3392" t="s">
        <v>1787</v>
      </c>
      <c r="C49" s="3392"/>
      <c r="D49" s="1723">
        <v>0</v>
      </c>
      <c r="E49" s="330" t="s">
        <v>1788</v>
      </c>
      <c r="F49" s="3240" t="s">
        <v>34</v>
      </c>
      <c r="G49" s="3400"/>
      <c r="H49" s="2475" t="s">
        <v>2634</v>
      </c>
      <c r="I49" s="2476"/>
      <c r="J49" s="3245">
        <v>4</v>
      </c>
      <c r="K49" s="3390" t="str">
        <f>IF(项目基本情况!E8="房地产抵押价值","房地产抵押价值","抵押担保权已注销时的房地产抵押价值")</f>
        <v>房地产抵押价值</v>
      </c>
      <c r="L49" s="3390"/>
      <c r="M49" s="3399" t="e">
        <f ca="1">IF(项目基本情况!E8="房地产抵押价值",H107,H109)</f>
        <v>#DIV/0!</v>
      </c>
      <c r="N49" s="3399"/>
      <c r="O49" s="3399"/>
    </row>
    <row r="50" spans="1:35" ht="25.5" customHeight="1">
      <c r="A50" s="2723"/>
      <c r="B50" s="3392" t="s">
        <v>1789</v>
      </c>
      <c r="C50" s="3392"/>
      <c r="D50" s="2724"/>
      <c r="E50" s="338"/>
      <c r="F50" s="3240"/>
      <c r="G50" s="3401"/>
      <c r="H50" s="2477" t="s">
        <v>2635</v>
      </c>
      <c r="I50" s="2476"/>
      <c r="J50" s="3386" t="s">
        <v>1790</v>
      </c>
      <c r="K50" s="3386"/>
      <c r="L50" s="3386"/>
      <c r="M50" s="3386"/>
      <c r="N50" s="3386"/>
      <c r="O50" s="3386"/>
    </row>
    <row r="51" spans="1:35" ht="20.45" customHeight="1">
      <c r="A51" s="2725"/>
      <c r="B51" s="3392" t="s">
        <v>1791</v>
      </c>
      <c r="C51" s="3392"/>
      <c r="D51" s="1197"/>
      <c r="E51" s="333"/>
      <c r="F51" s="3240"/>
      <c r="G51" s="3402"/>
      <c r="H51" s="2477" t="s">
        <v>2636</v>
      </c>
      <c r="I51" s="2476"/>
      <c r="J51" s="3241" t="s">
        <v>1792</v>
      </c>
      <c r="K51" s="3390" t="s">
        <v>1793</v>
      </c>
      <c r="L51" s="3390"/>
      <c r="M51" s="3241" t="s">
        <v>1794</v>
      </c>
      <c r="N51" s="3241" t="s">
        <v>1795</v>
      </c>
      <c r="O51" s="3241" t="s">
        <v>1796</v>
      </c>
    </row>
    <row r="52" spans="1:35" ht="24" customHeight="1">
      <c r="A52" s="3256" t="s">
        <v>1797</v>
      </c>
      <c r="B52" s="3392" t="s">
        <v>1798</v>
      </c>
      <c r="C52" s="3392"/>
      <c r="D52" s="1197" t="e">
        <f ca="1">ROUND(D45*'数据-取费表'!B41/(1+'数据-取费表'!C42),0)</f>
        <v>#DIV/0!</v>
      </c>
      <c r="E52" s="3255" t="s">
        <v>1799</v>
      </c>
      <c r="F52" s="2726">
        <f>'数据-取费表'!B41</f>
        <v>5.5000000000000007E-2</v>
      </c>
      <c r="G52" s="2727"/>
      <c r="H52" s="2716"/>
      <c r="I52" s="1940"/>
      <c r="J52" s="3245">
        <v>1</v>
      </c>
      <c r="K52" s="3393" t="s">
        <v>1800</v>
      </c>
      <c r="L52" s="3393"/>
      <c r="M52" s="2697" t="e">
        <f ca="1">D48</f>
        <v>#DIV/0!</v>
      </c>
      <c r="N52" s="3245" t="str">
        <f>E48</f>
        <v>销售额×税（费）率</v>
      </c>
      <c r="O52" s="2698">
        <f>F48</f>
        <v>5.5000000000000007E-2</v>
      </c>
    </row>
    <row r="53" spans="1:35" ht="12" customHeight="1">
      <c r="A53" s="3256" t="s">
        <v>1801</v>
      </c>
      <c r="B53" s="3394" t="s">
        <v>2791</v>
      </c>
      <c r="C53" s="3395"/>
      <c r="D53" s="1197" t="e">
        <f ca="1">ROUND(D45*'数据-取费表'!B41/(1+'数据-取费表'!C42),0)</f>
        <v>#DIV/0!</v>
      </c>
      <c r="E53" s="3255" t="s">
        <v>1799</v>
      </c>
      <c r="F53" s="2726">
        <f>'数据-取费表'!B41</f>
        <v>5.5000000000000007E-2</v>
      </c>
      <c r="G53" s="2727"/>
      <c r="H53" s="2716"/>
      <c r="I53" s="1940"/>
      <c r="J53" s="3245">
        <v>2</v>
      </c>
      <c r="K53" s="3393" t="s">
        <v>1802</v>
      </c>
      <c r="L53" s="3393"/>
      <c r="M53" s="2697" t="e">
        <f t="shared" ref="M53:O54" ca="1" si="0">D55</f>
        <v>#DIV/0!</v>
      </c>
      <c r="N53" s="3245" t="str">
        <f t="shared" si="0"/>
        <v>销售额×税（费）率</v>
      </c>
      <c r="O53" s="2698">
        <f t="shared" si="0"/>
        <v>5.0000000000000001E-4</v>
      </c>
    </row>
    <row r="54" spans="1:35" ht="12" customHeight="1">
      <c r="A54" s="3256" t="s">
        <v>1803</v>
      </c>
      <c r="B54" s="3394" t="s">
        <v>2792</v>
      </c>
      <c r="C54" s="3395"/>
      <c r="D54" s="1197" t="e">
        <f ca="1">C68</f>
        <v>#DIV/0!</v>
      </c>
      <c r="E54" s="333" t="s">
        <v>1804</v>
      </c>
      <c r="F54" s="2726">
        <f>'数据-取费表'!B41</f>
        <v>5.5000000000000007E-2</v>
      </c>
      <c r="G54" s="2727"/>
      <c r="H54" s="2728"/>
      <c r="I54" s="1940"/>
      <c r="J54" s="3245">
        <v>3</v>
      </c>
      <c r="K54" s="3393" t="s">
        <v>1805</v>
      </c>
      <c r="L54" s="3393"/>
      <c r="M54" s="2697" t="e">
        <f t="shared" ca="1" si="0"/>
        <v>#DIV/0!</v>
      </c>
      <c r="N54" s="3245" t="str">
        <f t="shared" si="0"/>
        <v>增值额×税（费）率</v>
      </c>
      <c r="O54" s="2699" t="str">
        <f t="shared" si="0"/>
        <v>——</v>
      </c>
    </row>
    <row r="55" spans="1:35" ht="24" customHeight="1">
      <c r="A55" s="3409" t="s">
        <v>1806</v>
      </c>
      <c r="B55" s="3398"/>
      <c r="C55" s="3398"/>
      <c r="D55" s="3242" t="e">
        <f ca="1">IF(H55="个人住宅",0,ROUND(D45*I55,0))</f>
        <v>#DIV/0!</v>
      </c>
      <c r="E55" s="3255" t="s">
        <v>1807</v>
      </c>
      <c r="F55" s="2726">
        <f>IF(H55="正常",I55,"免征")</f>
        <v>5.0000000000000001E-4</v>
      </c>
      <c r="G55" s="2727"/>
      <c r="H55" s="2722" t="s">
        <v>3198</v>
      </c>
      <c r="I55" s="170">
        <f>'数据-取费表'!B49</f>
        <v>5.0000000000000001E-4</v>
      </c>
      <c r="J55" s="3245" t="str">
        <f>IF(H59="非个人房产","",4)</f>
        <v/>
      </c>
      <c r="K55" s="3393" t="str">
        <f>IF(H59="非个人房产","——","个人所得税")</f>
        <v>——</v>
      </c>
      <c r="L55" s="3393"/>
      <c r="M55" s="2700" t="str">
        <f>D59</f>
        <v>——</v>
      </c>
      <c r="N55" s="3246" t="str">
        <f>E59</f>
        <v>——</v>
      </c>
      <c r="O55" s="2701" t="str">
        <f>F59</f>
        <v>——</v>
      </c>
    </row>
    <row r="56" spans="1:35" ht="24.75">
      <c r="A56" s="3409" t="s">
        <v>1808</v>
      </c>
      <c r="B56" s="3398"/>
      <c r="C56" s="3398"/>
      <c r="D56" s="3242" t="e">
        <f ca="1">IF(H56="个人住宅",D57,D58)</f>
        <v>#DIV/0!</v>
      </c>
      <c r="E56" s="3255" t="s">
        <v>1809</v>
      </c>
      <c r="F56" s="2726" t="str">
        <f>IF(H56="正常",F58,"免征")</f>
        <v>——</v>
      </c>
      <c r="G56" s="2729" t="s">
        <v>1810</v>
      </c>
      <c r="H56" s="2730" t="s">
        <v>3198</v>
      </c>
      <c r="I56" s="1941"/>
      <c r="J56" s="3245" t="str">
        <f>IF(项目基本情况!K6="上海银行",IF(J55="",4,J55+1),"")</f>
        <v/>
      </c>
      <c r="K56" s="3403" t="str">
        <f>IF(项目基本情况!K6="上海银行","其他处置费用","")</f>
        <v/>
      </c>
      <c r="L56" s="3410"/>
      <c r="M56" s="2697" t="str">
        <f>IF(项目基本情况!K6="上海银行",M69,"")</f>
        <v/>
      </c>
      <c r="N56" s="3403" t="str">
        <f>IF(项目基本情况!K6="上海银行","包含处置中涉及的律师、诉讼、拍卖、评估等费用","")</f>
        <v/>
      </c>
      <c r="O56" s="3404"/>
    </row>
    <row r="57" spans="1:35" ht="12.75">
      <c r="A57" s="3256" t="s">
        <v>1786</v>
      </c>
      <c r="B57" s="3394" t="s">
        <v>1811</v>
      </c>
      <c r="C57" s="3395"/>
      <c r="D57" s="1723">
        <v>0</v>
      </c>
      <c r="E57" s="330" t="s">
        <v>1788</v>
      </c>
      <c r="F57" s="308"/>
      <c r="G57" s="2727"/>
      <c r="H57" s="2731"/>
      <c r="I57" s="1941"/>
      <c r="J57" s="3393">
        <f>IF(AND(J55="",J56=""),4,IF(项目基本情况!K6="上海银行",'结果表 (2)'!J56+1,'结果表 (2)'!J55+1))</f>
        <v>4</v>
      </c>
      <c r="K57" s="3393" t="s">
        <v>1812</v>
      </c>
      <c r="L57" s="2702" t="s">
        <v>1813</v>
      </c>
      <c r="M57" s="2703"/>
      <c r="N57" s="2704">
        <f ca="1">SUMIF(M52:M56,"&lt;9e307")</f>
        <v>0</v>
      </c>
      <c r="O57" s="2705"/>
      <c r="P57" s="2865" t="e">
        <f ca="1">N57/M49</f>
        <v>#DIV/0!</v>
      </c>
    </row>
    <row r="58" spans="1:35" ht="24.75">
      <c r="A58" s="3256" t="s">
        <v>1797</v>
      </c>
      <c r="B58" s="3394" t="s">
        <v>1814</v>
      </c>
      <c r="C58" s="3392"/>
      <c r="D58" s="3242" t="e">
        <f ca="1">IF(H58="转让取得",C81,C97)</f>
        <v>#DIV/0!</v>
      </c>
      <c r="E58" s="3255" t="s">
        <v>1809</v>
      </c>
      <c r="F58" s="308" t="s">
        <v>34</v>
      </c>
      <c r="G58" s="2727"/>
      <c r="H58" s="2730" t="s">
        <v>3199</v>
      </c>
      <c r="I58" s="1941"/>
      <c r="J58" s="3393"/>
      <c r="K58" s="3393"/>
      <c r="L58" s="2702" t="s">
        <v>1815</v>
      </c>
      <c r="M58" s="2706"/>
      <c r="N58" s="2707" t="str">
        <f ca="1">NUMBERSTRING(INT(N57*10000),2)&amp;"元整"</f>
        <v>零元整</v>
      </c>
      <c r="O58" s="2708"/>
    </row>
    <row r="59" spans="1:35" ht="24.75" thickBot="1">
      <c r="A59" s="3405" t="s">
        <v>1816</v>
      </c>
      <c r="B59" s="3406"/>
      <c r="C59" s="3406"/>
      <c r="D59" s="2732" t="str">
        <f>IF(H59="非个人房产","——",IF(H59="个人住宅（满五唯一有凭证）",0,IF(H59="个人其他（无凭证）",ROUND(D45*F59,0),ROUND(C67*F59,0))))</f>
        <v>——</v>
      </c>
      <c r="E59" s="2733" t="str">
        <f>IF(H59="非个人房产","——",IF(H59="个人其他（无凭证）","销售额×税（费）率",IF(H59="个人住宅（满五唯一有凭证）","免征","差额计税")))</f>
        <v>——</v>
      </c>
      <c r="F59" s="2734" t="str">
        <f>IF(OR(H59="非个人房产",H59="个人住宅（满五唯一有凭证）"),"——",IF(H59="个人其他（有凭证）",20%,1%))</f>
        <v>——</v>
      </c>
      <c r="G59" s="2735" t="s">
        <v>1810</v>
      </c>
      <c r="H59" s="2479" t="s">
        <v>3200</v>
      </c>
      <c r="I59" s="2478" t="s">
        <v>2637</v>
      </c>
      <c r="J59" s="3407">
        <f>J57+1</f>
        <v>5</v>
      </c>
      <c r="K59" s="3393" t="s">
        <v>1817</v>
      </c>
      <c r="L59" s="3245" t="s">
        <v>1813</v>
      </c>
      <c r="M59" s="2709"/>
      <c r="N59" s="2710" t="e">
        <f ca="1">M49-N57</f>
        <v>#DIV/0!</v>
      </c>
      <c r="O59" s="2711"/>
    </row>
    <row r="60" spans="1:35" ht="12" customHeight="1">
      <c r="A60" s="1942"/>
      <c r="B60" s="1880"/>
      <c r="C60" s="1880"/>
      <c r="D60" s="1880"/>
      <c r="E60" s="1711"/>
      <c r="F60" s="1941"/>
      <c r="G60" s="1941"/>
      <c r="H60" s="1943"/>
      <c r="I60" s="134"/>
      <c r="J60" s="3408"/>
      <c r="K60" s="3393"/>
      <c r="L60" s="2702" t="s">
        <v>1815</v>
      </c>
      <c r="M60" s="2706"/>
      <c r="N60" s="2707" t="e">
        <f ca="1">NUMBERSTRING(INT(N59*10000),2)&amp;"元整"</f>
        <v>#DIV/0!</v>
      </c>
      <c r="O60" s="2708"/>
    </row>
    <row r="61" spans="1:35" ht="13.5" thickBot="1">
      <c r="A61" s="3421" t="s">
        <v>1818</v>
      </c>
      <c r="B61" s="3421"/>
      <c r="C61" s="3421"/>
      <c r="D61" s="3421"/>
      <c r="E61" s="3421"/>
      <c r="F61" s="1941"/>
      <c r="G61" s="1941"/>
      <c r="H61" s="1943"/>
      <c r="I61" s="134"/>
      <c r="J61" s="3245">
        <f>J59+1</f>
        <v>6</v>
      </c>
      <c r="K61" s="3393" t="s">
        <v>1819</v>
      </c>
      <c r="L61" s="3393"/>
      <c r="M61" s="2712"/>
      <c r="N61" s="2713" t="e">
        <f ca="1">ROUND(N59*10000/'数据-汇总表'!E3,0)</f>
        <v>#DIV/0!</v>
      </c>
      <c r="O61" s="2714"/>
    </row>
    <row r="62" spans="1:35" ht="12.75">
      <c r="A62" s="3417" t="s">
        <v>1820</v>
      </c>
      <c r="B62" s="3418"/>
      <c r="C62" s="3250"/>
      <c r="D62" s="3250" t="s">
        <v>1821</v>
      </c>
      <c r="E62" s="171" t="s">
        <v>1822</v>
      </c>
      <c r="F62" s="1941"/>
      <c r="G62" s="1941"/>
      <c r="H62" s="1943"/>
      <c r="I62" s="134"/>
    </row>
    <row r="63" spans="1:35" ht="12.75">
      <c r="A63" s="178" t="s">
        <v>594</v>
      </c>
      <c r="B63" s="172" t="s">
        <v>1823</v>
      </c>
      <c r="C63" s="2736" t="e">
        <f ca="1">ROUND((C64+C65)/(1+'数据-取费表'!C42),0)</f>
        <v>#DIV/0!</v>
      </c>
      <c r="D63" s="172"/>
      <c r="E63" s="173"/>
      <c r="F63" s="1941"/>
      <c r="G63" s="1941"/>
      <c r="H63" s="1943"/>
      <c r="I63" s="134"/>
      <c r="J63" s="3422" t="s">
        <v>1824</v>
      </c>
      <c r="K63" s="3243" t="s">
        <v>1825</v>
      </c>
      <c r="L63" s="3243" t="e">
        <f ca="1">IF(M49&gt;10000,M49*0.5%,IF(AND(M49&gt;1000,M49&lt;=10000),M49*1%,IF(AND(M49&gt;100,M49&lt;=1000),M49*3%,IF(AND(M49&gt;10,M49&lt;=100),M49*5%,M49*8%))))</f>
        <v>#DIV/0!</v>
      </c>
      <c r="M63" s="308" t="e">
        <f ca="1">ROUND(L63,1)</f>
        <v>#DIV/0!</v>
      </c>
      <c r="N63" s="2715"/>
      <c r="Z63" s="1885"/>
      <c r="AI63" s="1886"/>
    </row>
    <row r="64" spans="1:35" ht="14.25" customHeight="1">
      <c r="A64" s="174" t="s">
        <v>589</v>
      </c>
      <c r="B64" s="175" t="s">
        <v>1826</v>
      </c>
      <c r="C64" s="2737" t="e">
        <f ca="1">D45</f>
        <v>#DIV/0!</v>
      </c>
      <c r="D64" s="175" t="s">
        <v>32</v>
      </c>
      <c r="E64" s="177"/>
      <c r="F64" s="1941"/>
      <c r="G64" s="1941"/>
      <c r="H64" s="1943"/>
      <c r="I64" s="134"/>
      <c r="J64" s="3422"/>
      <c r="K64" s="3243" t="s">
        <v>1827</v>
      </c>
      <c r="L64" s="3243" t="e">
        <f ca="1">IF(M49&gt;2000,M49*0.5%,IF(AND(M49&gt;1000,M49&lt;=2000),M49*0.6%,IF(AND(M49&gt;500,M49&lt;=1000),M49*0.7%,IF(AND(M49&gt;200,M49&lt;=500),M49*0.8%,IF(AND(M49&gt;100,M49&lt;=200),M49*0.9%,IF(AND(M49&gt;50,M49&lt;=100),M49*1%,IF(AND(M49&gt;20,M49&lt;=50),M49*1.5%,IF(AND(M49&gt;10,M49&lt;=20),M49*2%,IF(AND(M49&gt;1,M49&lt;=10),M49*2.5%)))))))))</f>
        <v>#DIV/0!</v>
      </c>
      <c r="M64" s="308" t="e">
        <f t="shared" ref="M64:M65" ca="1" si="1">ROUND(L64,1)</f>
        <v>#DIV/0!</v>
      </c>
      <c r="N64" s="2716" t="s">
        <v>1828</v>
      </c>
      <c r="Z64" s="1885"/>
      <c r="AI64" s="1886"/>
    </row>
    <row r="65" spans="1:35" ht="14.25" customHeight="1">
      <c r="A65" s="174" t="s">
        <v>590</v>
      </c>
      <c r="B65" s="175" t="s">
        <v>1829</v>
      </c>
      <c r="C65" s="2738"/>
      <c r="D65" s="175"/>
      <c r="E65" s="177"/>
      <c r="F65" s="1941"/>
      <c r="G65" s="1941"/>
      <c r="H65" s="1943"/>
      <c r="I65" s="134"/>
      <c r="J65" s="3422"/>
      <c r="K65" s="3243" t="s">
        <v>1830</v>
      </c>
      <c r="L65" s="3243" t="e">
        <f ca="1">IF(M49&gt;1000,M49*0.1%,IF(AND(M49&gt;500,M49&lt;=1000),M49*0.5%,IF(AND(M49&gt;50,M49&lt;=500),M49*1%,IF(AND(M49&gt;1,M49&lt;=50),M49*1.5%))))</f>
        <v>#DIV/0!</v>
      </c>
      <c r="M65" s="308" t="e">
        <f t="shared" ca="1" si="1"/>
        <v>#DIV/0!</v>
      </c>
      <c r="N65" s="2716" t="s">
        <v>1828</v>
      </c>
      <c r="Z65" s="1885"/>
      <c r="AI65" s="1886"/>
    </row>
    <row r="66" spans="1:35" ht="14.25" customHeight="1">
      <c r="A66" s="178" t="s">
        <v>591</v>
      </c>
      <c r="B66" s="179" t="s">
        <v>1831</v>
      </c>
      <c r="C66" s="2739"/>
      <c r="D66" s="179" t="s">
        <v>32</v>
      </c>
      <c r="E66" s="1457" t="s">
        <v>1096</v>
      </c>
      <c r="F66" s="1941"/>
      <c r="G66" s="1941"/>
      <c r="H66" s="1943"/>
      <c r="I66" s="134"/>
      <c r="J66" s="3422"/>
      <c r="K66" s="3243" t="s">
        <v>1832</v>
      </c>
      <c r="L66" s="3243" t="e">
        <f ca="1">M49*0.5%</f>
        <v>#DIV/0!</v>
      </c>
      <c r="M66" s="308" t="e">
        <f ca="1">IF(L66&gt;0.5,0.5,ROUND(L66,0))</f>
        <v>#DIV/0!</v>
      </c>
      <c r="N66" s="2716" t="s">
        <v>1833</v>
      </c>
      <c r="Z66" s="1885"/>
      <c r="AI66" s="1886"/>
    </row>
    <row r="67" spans="1:35" ht="14.25" customHeight="1">
      <c r="A67" s="178" t="s">
        <v>592</v>
      </c>
      <c r="B67" s="179" t="s">
        <v>1834</v>
      </c>
      <c r="C67" s="2740" t="e">
        <f ca="1">C63-C66</f>
        <v>#DIV/0!</v>
      </c>
      <c r="D67" s="175" t="s">
        <v>32</v>
      </c>
      <c r="E67" s="177"/>
      <c r="F67" s="1941"/>
      <c r="G67" s="1941"/>
      <c r="H67" s="1943"/>
      <c r="I67" s="134"/>
      <c r="J67" s="3422"/>
      <c r="K67" s="3243" t="s">
        <v>1835</v>
      </c>
      <c r="L67" s="3243" t="e">
        <f ca="1">IF(M49&gt;=10000,(8.25+(M49-10000)*0.01%),IF(AND(M49&gt;=8000,M49&lt;10000),(7.85+(M49-8000)*0.02%),IF(AND(M49&gt;=5000,M49&lt;8000),(6.65+(M49-5000)*0.04%),IF(AND(M49&gt;=2000,M49&lt;5000),(4.25+(PM49-2000)*0.08%),IF(AND(M49&gt;=1000,M49&lt;2000),(2.75+(M49-1000)*0.15%),IF(AND(M49&gt;=100,M49&lt;1000),(0.5+(M49-100)*0.25%),IF(AND(M49&gt;0,M49&lt;100),M49*0.5%)))))))</f>
        <v>#DIV/0!</v>
      </c>
      <c r="M67" s="308" t="e">
        <f ca="1">ROUND(L67*0.9,1)</f>
        <v>#DIV/0!</v>
      </c>
      <c r="N67" s="2715"/>
      <c r="Z67" s="1885"/>
      <c r="AI67" s="1886"/>
    </row>
    <row r="68" spans="1:35" ht="14.25" customHeight="1" thickBot="1">
      <c r="A68" s="181" t="s">
        <v>593</v>
      </c>
      <c r="B68" s="182" t="s">
        <v>1836</v>
      </c>
      <c r="C68" s="2741" t="e">
        <f ca="1">IF(C67&lt;=0,0,ROUND(C67*D68,0))</f>
        <v>#DIV/0!</v>
      </c>
      <c r="D68" s="2742">
        <f>'数据-取费表'!B41</f>
        <v>5.5000000000000007E-2</v>
      </c>
      <c r="E68" s="184"/>
      <c r="F68" s="1941"/>
      <c r="G68" s="1941"/>
      <c r="H68" s="1943"/>
      <c r="I68" s="134"/>
      <c r="J68" s="3422"/>
      <c r="K68" s="3243" t="s">
        <v>1837</v>
      </c>
      <c r="L68" s="3243" t="e">
        <f ca="1">IF(M49&gt;10000,M49*0.5%,IF(AND(M49&gt;5000,M49&lt;=10000),M49*1%,IF(AND(M49&gt;1000,M49&lt;=5000),M49*2%,IF(AND(M49&gt;200,M49&lt;=1000),M49*3%,M49*5%))))</f>
        <v>#DIV/0!</v>
      </c>
      <c r="M68" s="308" t="e">
        <f ca="1">ROUND(L68,1)</f>
        <v>#DIV/0!</v>
      </c>
      <c r="N68" s="2715"/>
      <c r="Z68" s="1885"/>
      <c r="AI68" s="1886"/>
    </row>
    <row r="69" spans="1:35" s="1905" customFormat="1" ht="16.5" customHeight="1">
      <c r="A69" s="1944"/>
      <c r="B69" s="1945"/>
      <c r="C69" s="1946"/>
      <c r="D69" s="1947"/>
      <c r="E69" s="1948"/>
      <c r="F69" s="1711"/>
      <c r="G69" s="1711"/>
      <c r="H69" s="1710"/>
      <c r="I69" s="1880"/>
      <c r="J69" s="3422"/>
      <c r="K69" s="3243" t="s">
        <v>1838</v>
      </c>
      <c r="L69" s="3243"/>
      <c r="M69" s="308" t="e">
        <f ca="1">ROUND(SUM(M63:M68),0)</f>
        <v>#DIV/0!</v>
      </c>
      <c r="N69" s="2717" t="e">
        <f ca="1">M69/M49</f>
        <v>#DIV/0!</v>
      </c>
      <c r="O69" s="734"/>
      <c r="P69" s="734"/>
      <c r="Q69" s="734"/>
      <c r="R69" s="734"/>
      <c r="S69" s="734"/>
      <c r="T69" s="734"/>
      <c r="U69" s="734"/>
      <c r="V69" s="734"/>
      <c r="W69" s="734"/>
      <c r="X69" s="734"/>
      <c r="Y69" s="734"/>
      <c r="Z69" s="1885"/>
      <c r="AA69" s="1885"/>
      <c r="AB69" s="1885"/>
      <c r="AC69" s="1885"/>
      <c r="AD69" s="1885"/>
      <c r="AE69" s="1885"/>
      <c r="AF69" s="1885"/>
      <c r="AG69" s="1885"/>
      <c r="AH69" s="1885"/>
    </row>
    <row r="70" spans="1:35" s="1950" customFormat="1" ht="15" thickBot="1">
      <c r="A70" s="3415" t="s">
        <v>1839</v>
      </c>
      <c r="B70" s="3416"/>
      <c r="C70" s="3416"/>
      <c r="D70" s="3416"/>
      <c r="E70" s="3416"/>
      <c r="F70" s="3416"/>
      <c r="G70" s="3416"/>
      <c r="H70" s="3416"/>
      <c r="I70" s="1949"/>
      <c r="J70" s="2866"/>
      <c r="K70" s="2866"/>
      <c r="L70" s="2866"/>
      <c r="M70" s="2866"/>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417" t="s">
        <v>1820</v>
      </c>
      <c r="B71" s="3418"/>
      <c r="C71" s="3250"/>
      <c r="D71" s="3250" t="s">
        <v>1821</v>
      </c>
      <c r="E71" s="185" t="s">
        <v>1822</v>
      </c>
      <c r="F71" s="186"/>
      <c r="G71" s="186"/>
      <c r="H71" s="187"/>
      <c r="I71" s="1953"/>
      <c r="J71" s="2866"/>
      <c r="K71" s="2866"/>
      <c r="L71" s="2866"/>
      <c r="M71" s="2866"/>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40" t="e">
        <f ca="1">ROUND(D45/(1+'数据-取费表'!C42),0)</f>
        <v>#DIV/0!</v>
      </c>
      <c r="D72" s="175" t="s">
        <v>32</v>
      </c>
      <c r="E72" s="3252"/>
      <c r="F72" s="3251"/>
      <c r="G72" s="3251"/>
      <c r="H72" s="188"/>
      <c r="I72" s="1953"/>
      <c r="J72" s="2866"/>
      <c r="K72" s="2866"/>
      <c r="L72" s="2866"/>
      <c r="M72" s="2866"/>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40" t="e">
        <f ca="1">C74+C78</f>
        <v>#DIV/0!</v>
      </c>
      <c r="D73" s="175" t="s">
        <v>32</v>
      </c>
      <c r="E73" s="3252"/>
      <c r="F73" s="3251"/>
      <c r="G73" s="3251"/>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3252"/>
      <c r="F74" s="3251"/>
      <c r="G74" s="3251"/>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3"/>
      <c r="D75" s="175" t="s">
        <v>32</v>
      </c>
      <c r="E75" s="190" t="s">
        <v>1844</v>
      </c>
      <c r="F75" s="2744"/>
      <c r="G75" s="190" t="s">
        <v>1845</v>
      </c>
      <c r="H75" s="2745"/>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6">
        <v>0.05</v>
      </c>
      <c r="E76" s="3394" t="s">
        <v>1847</v>
      </c>
      <c r="F76" s="3392"/>
      <c r="G76" s="3392"/>
      <c r="H76" s="3411"/>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7">
        <f>'数据-取费表'!B48+'数据-取费表'!B49</f>
        <v>3.0499999999999999E-2</v>
      </c>
      <c r="E77" s="3242" t="s">
        <v>1849</v>
      </c>
      <c r="F77" s="192"/>
      <c r="G77" s="1955"/>
      <c r="H77" s="3253"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8" t="e">
        <f ca="1">ROUND(D45*D78/(1+'数据-取费表'!C42),0)</f>
        <v>#DIV/0!</v>
      </c>
      <c r="D78" s="2749">
        <f>'数据-取费表'!B43</f>
        <v>5.000000000000001E-3</v>
      </c>
      <c r="E78" s="3412" t="s">
        <v>1851</v>
      </c>
      <c r="F78" s="3413"/>
      <c r="G78" s="3413"/>
      <c r="H78" s="3414"/>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1852</v>
      </c>
      <c r="C79" s="2740" t="e">
        <f ca="1">C72-C73</f>
        <v>#DIV/0!</v>
      </c>
      <c r="D79" s="175" t="s">
        <v>32</v>
      </c>
      <c r="E79" s="3252"/>
      <c r="F79" s="3251"/>
      <c r="G79" s="3251"/>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50" t="e">
        <f ca="1">IF(C79&lt;=0,0,C79/C73)</f>
        <v>#DIV/0!</v>
      </c>
      <c r="D80" s="175" t="s">
        <v>32</v>
      </c>
      <c r="E80" s="3242" t="e">
        <f ca="1">IF(C80&gt;=200%,"增值额超过扣除项目金额200%",IF(C80&gt;=100%,"增值额超过扣除项目金额100%，未超过200%",IF(C80&gt;=50%,"增值额超过扣除项目金额50%，未超过100%",IF(C80&lt;50%,"增值额未超过扣除项目金额50%"))))</f>
        <v>#DIV/0!</v>
      </c>
      <c r="F80" s="3251"/>
      <c r="G80" s="3251"/>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1" t="e">
        <f ca="1">ROUND(IF(C79&lt;=0,0,IF(C80&gt;=200%,C79*60%-C73*35%,IF(C80&gt;=100%,C79*50%-C73*15%,IF(C80&gt;=50%,C79*40%-C73*5%,IF(C80&lt;50%,C79*30%,0))))),0)</f>
        <v>#DIV/0!</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9"/>
      <c r="B82" s="690"/>
      <c r="C82" s="7"/>
      <c r="D82" s="7"/>
      <c r="E82" s="690"/>
      <c r="F82" s="690"/>
      <c r="G82" s="690"/>
      <c r="H82" s="691"/>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15" t="s">
        <v>1855</v>
      </c>
      <c r="B83" s="3416"/>
      <c r="C83" s="3416"/>
      <c r="D83" s="3416"/>
      <c r="E83" s="3416"/>
      <c r="F83" s="3416"/>
      <c r="G83" s="3416"/>
      <c r="H83" s="3416"/>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417" t="s">
        <v>1820</v>
      </c>
      <c r="B84" s="3418"/>
      <c r="C84" s="3250"/>
      <c r="D84" s="3250"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40" t="e">
        <f ca="1">ROUND(D45/(1+'数据-取费表'!C42),0)</f>
        <v>#DIV/0!</v>
      </c>
      <c r="D85" s="175" t="s">
        <v>32</v>
      </c>
      <c r="E85" s="3252"/>
      <c r="F85" s="3251"/>
      <c r="G85" s="3251"/>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40" t="e">
        <f ca="1">IF(H88="仅含出让金",C87+C90+C91+C92+C93+C94,C87+C91+C92+C93+C94)</f>
        <v>#DIV/0!</v>
      </c>
      <c r="D86" s="2753"/>
      <c r="E86" s="3252"/>
      <c r="F86" s="3251"/>
      <c r="G86" s="3251"/>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8">
        <f>C88+C89</f>
        <v>0</v>
      </c>
      <c r="D87" s="2749"/>
      <c r="E87" s="3247"/>
      <c r="F87" s="3248"/>
      <c r="G87" s="3248"/>
      <c r="H87" s="3249"/>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4"/>
      <c r="D88" s="2749"/>
      <c r="E88" s="199" t="s">
        <v>1858</v>
      </c>
      <c r="F88" s="3248"/>
      <c r="G88" s="200" t="s">
        <v>1859</v>
      </c>
      <c r="H88" s="1957"/>
      <c r="I88" s="1954"/>
      <c r="J88" s="2693"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8">
        <f>ROUND(C88*D89,0)</f>
        <v>0</v>
      </c>
      <c r="D89" s="2749">
        <f>'数据-取费表'!B48+'数据-取费表'!B49</f>
        <v>3.0499999999999999E-2</v>
      </c>
      <c r="E89" s="199" t="s">
        <v>1860</v>
      </c>
      <c r="F89" s="3248"/>
      <c r="G89" s="3248"/>
      <c r="H89" s="3249"/>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4"/>
      <c r="D90" s="2749"/>
      <c r="E90" s="199" t="str">
        <f>IF(H88="-","土地取得成本中已包含该笔费用"," ")</f>
        <v xml:space="preserve"> </v>
      </c>
      <c r="F90" s="3248"/>
      <c r="G90" s="3419" t="s">
        <v>2629</v>
      </c>
      <c r="H90" s="3420"/>
      <c r="I90" s="1954"/>
      <c r="J90" s="2693"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8">
        <f>IF(H91="——",成本法!C33,I91)</f>
        <v>0</v>
      </c>
      <c r="D91" s="2749"/>
      <c r="E91" s="3412" t="s">
        <v>1864</v>
      </c>
      <c r="F91" s="3413"/>
      <c r="G91" s="3413"/>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8">
        <f>ROUND((C87+C90+C91)*D92,0)</f>
        <v>0</v>
      </c>
      <c r="D92" s="2755"/>
      <c r="E92" s="3412" t="s">
        <v>1867</v>
      </c>
      <c r="F92" s="3413"/>
      <c r="G92" s="3413"/>
      <c r="H92" s="3414"/>
      <c r="I92" s="1954"/>
      <c r="J92" s="2694"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8" t="e">
        <f ca="1">ROUND(D45*D93/(1+'数据-取费表'!C42),0)</f>
        <v>#DIV/0!</v>
      </c>
      <c r="D93" s="2749">
        <f>'数据-取费表'!B43</f>
        <v>5.000000000000001E-3</v>
      </c>
      <c r="E93" s="3412" t="s">
        <v>1851</v>
      </c>
      <c r="F93" s="3413"/>
      <c r="G93" s="3413"/>
      <c r="H93" s="3414"/>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4">
        <f>ROUND((C87+C90+C91)*D94,0)</f>
        <v>0</v>
      </c>
      <c r="D94" s="2749">
        <v>0.2</v>
      </c>
      <c r="E94" s="3423" t="s">
        <v>1871</v>
      </c>
      <c r="F94" s="3424"/>
      <c r="G94" s="3424"/>
      <c r="H94" s="3425"/>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1852</v>
      </c>
      <c r="C95" s="2740" t="e">
        <f ca="1">ROUND(C85-C86,0)</f>
        <v>#DIV/0!</v>
      </c>
      <c r="D95" s="175" t="s">
        <v>32</v>
      </c>
      <c r="E95" s="3252"/>
      <c r="F95" s="3251"/>
      <c r="G95" s="3251"/>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50" t="e">
        <f ca="1">IF(C95&lt;=0,0,C95/C86)</f>
        <v>#DIV/0!</v>
      </c>
      <c r="D96" s="175" t="s">
        <v>32</v>
      </c>
      <c r="E96" s="3242" t="e">
        <f ca="1">IF(C96&gt;=200%,"增值额超过扣除项目金额200%",IF(C96&gt;=100%,"增值额超过扣除项目金额100%，未超过200%",IF(C96&gt;=50%,"增值额超过扣除项目金额50%，未超过100%",IF(C96&lt;50%,"增值额未超过扣除项目金额50%"))))</f>
        <v>#DIV/0!</v>
      </c>
      <c r="F96" s="3251"/>
      <c r="G96" s="3251"/>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1" t="e">
        <f ca="1">ROUND(IF(C95&lt;=0,0,IF(C96&gt;=200%,C95*60%-C86*35%,IF(C96&gt;=100%,C95*50%-C86*15%,IF(C96&gt;=50%,C95*40%-C86*5%,IF(C96&lt;50%,C95*30%,0))))),0)</f>
        <v>#DIV/0!</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1"/>
      <c r="F98" s="1711"/>
      <c r="G98" s="1711"/>
      <c r="H98" s="1710"/>
      <c r="I98" s="134"/>
    </row>
    <row r="99" spans="1:35" ht="21.75" customHeight="1" thickBot="1">
      <c r="A99" s="1933" t="s">
        <v>1872</v>
      </c>
      <c r="B99" s="1880"/>
      <c r="C99" s="1880"/>
      <c r="D99" s="1880"/>
      <c r="E99" s="1711"/>
      <c r="F99" s="1711"/>
      <c r="G99" s="1711"/>
      <c r="H99" s="1710"/>
      <c r="I99" s="134"/>
    </row>
    <row r="100" spans="1:35" ht="18.75" customHeight="1">
      <c r="A100" s="3356" t="s">
        <v>1873</v>
      </c>
      <c r="B100" s="3357"/>
      <c r="C100" s="3357"/>
      <c r="D100" s="3426"/>
      <c r="E100" s="3357" t="s">
        <v>1874</v>
      </c>
      <c r="F100" s="3357"/>
      <c r="G100" s="3357"/>
      <c r="H100" s="3426"/>
      <c r="I100" s="134"/>
    </row>
    <row r="101" spans="1:35" ht="18.75" customHeight="1">
      <c r="A101" s="3427" t="s">
        <v>1875</v>
      </c>
      <c r="B101" s="3428"/>
      <c r="C101" s="2757" t="str">
        <f>C4</f>
        <v>成本法</v>
      </c>
      <c r="D101" s="2758" t="str">
        <f>D4</f>
        <v>收益法-车库</v>
      </c>
      <c r="E101" s="3429" t="s">
        <v>1876</v>
      </c>
      <c r="F101" s="3430"/>
      <c r="G101" s="1960" t="s">
        <v>1877</v>
      </c>
      <c r="H101" s="2767" t="e">
        <f ca="1">H118</f>
        <v>#DIV/0!</v>
      </c>
      <c r="I101" s="134"/>
    </row>
    <row r="102" spans="1:35" ht="18.75" customHeight="1">
      <c r="A102" s="3431" t="s">
        <v>1878</v>
      </c>
      <c r="B102" s="2756" t="s">
        <v>1877</v>
      </c>
      <c r="C102" s="2757">
        <f ca="1">C19</f>
        <v>7660</v>
      </c>
      <c r="D102" s="2758" t="e">
        <f ca="1">D19</f>
        <v>#DIV/0!</v>
      </c>
      <c r="E102" s="3429"/>
      <c r="F102" s="3430"/>
      <c r="G102" s="1960" t="s">
        <v>1879</v>
      </c>
      <c r="H102" s="2727" t="e">
        <f ca="1">I118</f>
        <v>#DIV/0!</v>
      </c>
      <c r="I102" s="134"/>
    </row>
    <row r="103" spans="1:35" ht="42.75" customHeight="1">
      <c r="A103" s="3431"/>
      <c r="B103" s="2756" t="s">
        <v>1879</v>
      </c>
      <c r="C103" s="2759">
        <f ca="1">C20</f>
        <v>19968</v>
      </c>
      <c r="D103" s="2760">
        <f ca="1">D20</f>
        <v>0</v>
      </c>
      <c r="E103" s="3432" t="s">
        <v>1880</v>
      </c>
      <c r="F103" s="3433"/>
      <c r="G103" s="1961" t="s">
        <v>1881</v>
      </c>
      <c r="H103" s="2767">
        <f>IF(D36="正常操作",H104+H105+H106,H105+H106)</f>
        <v>0</v>
      </c>
      <c r="I103" s="134"/>
    </row>
    <row r="104" spans="1:35" ht="18.75" customHeight="1">
      <c r="A104" s="3431" t="s">
        <v>1882</v>
      </c>
      <c r="B104" s="2761" t="s">
        <v>1877</v>
      </c>
      <c r="C104" s="2762" t="e">
        <f ca="1">H118</f>
        <v>#DIV/0!</v>
      </c>
      <c r="D104" s="2763"/>
      <c r="E104" s="1807" t="s">
        <v>1883</v>
      </c>
      <c r="F104" s="1799"/>
      <c r="G104" s="1961" t="s">
        <v>1881</v>
      </c>
      <c r="H104" s="2768">
        <f>IF(D36="同一抵押权人同一抵押物续贷",C36&amp;"（续贷，未扣减，详见特别提示）",C36)</f>
        <v>0</v>
      </c>
      <c r="I104" s="134"/>
    </row>
    <row r="105" spans="1:35" ht="18.75" customHeight="1" thickBot="1">
      <c r="A105" s="3439"/>
      <c r="B105" s="2764" t="s">
        <v>1879</v>
      </c>
      <c r="C105" s="2765" t="e">
        <f ca="1">I118</f>
        <v>#DIV/0!</v>
      </c>
      <c r="D105" s="2766"/>
      <c r="E105" s="1807" t="s">
        <v>1884</v>
      </c>
      <c r="F105" s="1799"/>
      <c r="G105" s="1961" t="s">
        <v>1881</v>
      </c>
      <c r="H105" s="2769">
        <f>C37</f>
        <v>0</v>
      </c>
      <c r="I105" s="134"/>
    </row>
    <row r="106" spans="1:35" ht="18.75" customHeight="1">
      <c r="A106" s="1880" t="s">
        <v>1885</v>
      </c>
      <c r="B106" s="1880"/>
      <c r="C106" s="1880"/>
      <c r="D106" s="1880"/>
      <c r="E106" s="1962" t="s">
        <v>1886</v>
      </c>
      <c r="F106" s="1799"/>
      <c r="G106" s="1961" t="s">
        <v>1881</v>
      </c>
      <c r="H106" s="2769">
        <f>C38</f>
        <v>0</v>
      </c>
      <c r="I106" s="134"/>
    </row>
    <row r="107" spans="1:35" ht="18.75" customHeight="1">
      <c r="A107" s="134"/>
      <c r="B107" s="134"/>
      <c r="C107" s="134"/>
      <c r="D107" s="134"/>
      <c r="E107" s="3440" t="str">
        <f>IF(项目基本情况!E8="已注销","——","3.房地产抵押价值")</f>
        <v>3.房地产抵押价值</v>
      </c>
      <c r="F107" s="3430"/>
      <c r="G107" s="1960" t="s">
        <v>1877</v>
      </c>
      <c r="H107" s="2767" t="e">
        <f ca="1">IF(E107="——","——",H101-H103)</f>
        <v>#DIV/0!</v>
      </c>
      <c r="I107" s="134"/>
    </row>
    <row r="108" spans="1:35" ht="18.75" customHeight="1">
      <c r="A108" s="134"/>
      <c r="B108" s="134"/>
      <c r="C108" s="134"/>
      <c r="D108" s="134"/>
      <c r="E108" s="3440"/>
      <c r="F108" s="3430"/>
      <c r="G108" s="1960" t="s">
        <v>1879</v>
      </c>
      <c r="H108" s="2727" t="e">
        <f ca="1">ROUND(H107*10000/'数据-汇总表'!E3,0)</f>
        <v>#DIV/0!</v>
      </c>
      <c r="I108" s="134"/>
    </row>
    <row r="109" spans="1:35" ht="18.75" customHeight="1">
      <c r="A109" s="134"/>
      <c r="B109" s="134"/>
      <c r="C109" s="134"/>
      <c r="D109" s="134"/>
      <c r="E109" s="3440" t="str">
        <f>IF(项目基本情况!E8="已注销及未注销","4.抵押担保权已注销时的房地产抵押价值",IF(项目基本情况!E8="已注销","3.抵押担保权已注销时的房地产抵押价值","——"))</f>
        <v>——</v>
      </c>
      <c r="F109" s="3430"/>
      <c r="G109" s="1960" t="s">
        <v>1877</v>
      </c>
      <c r="H109" s="2770" t="str">
        <f>IF(E109="——","——",H101-H105-H106)</f>
        <v>——</v>
      </c>
      <c r="I109" s="134"/>
    </row>
    <row r="110" spans="1:35" ht="18.75" customHeight="1">
      <c r="A110" s="134"/>
      <c r="B110" s="134"/>
      <c r="C110" s="134"/>
      <c r="D110" s="134"/>
      <c r="E110" s="3440"/>
      <c r="F110" s="3430"/>
      <c r="G110" s="1960" t="s">
        <v>1879</v>
      </c>
      <c r="H110" s="2727"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42"/>
      <c r="G111" s="1960" t="s">
        <v>1877</v>
      </c>
      <c r="H111" s="2767" t="str">
        <f>IF(E111="——","——",N59)</f>
        <v>——</v>
      </c>
      <c r="I111" s="134"/>
    </row>
    <row r="112" spans="1:35" ht="18.75" customHeight="1" thickBot="1">
      <c r="A112" s="134"/>
      <c r="B112" s="134"/>
      <c r="C112" s="134"/>
      <c r="D112" s="134"/>
      <c r="E112" s="3443"/>
      <c r="F112" s="3444"/>
      <c r="G112" s="1963" t="s">
        <v>1879</v>
      </c>
      <c r="H112" s="2771" t="str">
        <f>IF(E111="——","——",N61)</f>
        <v>——</v>
      </c>
      <c r="I112" s="134"/>
    </row>
    <row r="113" spans="1:27" ht="18.75" customHeight="1">
      <c r="A113" s="134"/>
      <c r="B113" s="134"/>
      <c r="C113" s="134"/>
      <c r="D113" s="134"/>
      <c r="E113" s="3445" t="s">
        <v>1885</v>
      </c>
      <c r="F113" s="3445"/>
      <c r="G113" s="3445"/>
      <c r="H113" s="3445"/>
      <c r="I113" s="134"/>
    </row>
    <row r="114" spans="1:27" ht="3.75" customHeight="1">
      <c r="A114" s="1880"/>
      <c r="B114" s="1880"/>
      <c r="C114" s="1880"/>
      <c r="D114" s="1880"/>
      <c r="E114" s="1942"/>
      <c r="F114" s="1942"/>
      <c r="G114" s="1942"/>
      <c r="H114" s="1942"/>
      <c r="I114" s="1880"/>
    </row>
    <row r="115" spans="1:27" ht="18.75" customHeight="1">
      <c r="A115" s="3446" t="s">
        <v>1887</v>
      </c>
      <c r="B115" s="3447"/>
      <c r="C115" s="3447"/>
      <c r="D115" s="3447"/>
      <c r="E115" s="3447"/>
      <c r="F115" s="3447"/>
      <c r="G115" s="3447"/>
      <c r="H115" s="3447"/>
      <c r="I115" s="3448"/>
    </row>
    <row r="116" spans="1:27" ht="27" customHeight="1">
      <c r="A116" s="3362" t="s">
        <v>1888</v>
      </c>
      <c r="B116" s="3434" t="s">
        <v>1889</v>
      </c>
      <c r="C116" s="3434" t="s">
        <v>1890</v>
      </c>
      <c r="D116" s="3436" t="s">
        <v>1891</v>
      </c>
      <c r="E116" s="3437"/>
      <c r="F116" s="3438" t="s">
        <v>1892</v>
      </c>
      <c r="G116" s="3438"/>
      <c r="H116" s="3362" t="s">
        <v>1893</v>
      </c>
      <c r="I116" s="3362"/>
    </row>
    <row r="117" spans="1:27" ht="18.75" customHeight="1">
      <c r="A117" s="3362"/>
      <c r="B117" s="3435"/>
      <c r="C117" s="3435"/>
      <c r="D117" s="3244" t="s">
        <v>1894</v>
      </c>
      <c r="E117" s="3244" t="s">
        <v>1895</v>
      </c>
      <c r="F117" s="3244" t="s">
        <v>1894</v>
      </c>
      <c r="G117" s="3244" t="s">
        <v>1896</v>
      </c>
      <c r="H117" s="3244" t="s">
        <v>1894</v>
      </c>
      <c r="I117" s="3244" t="s">
        <v>1896</v>
      </c>
    </row>
    <row r="118" spans="1:27" ht="24.75" customHeight="1">
      <c r="A118" s="2772" t="str">
        <f>项目基本情况!S2</f>
        <v>北京市房地产</v>
      </c>
      <c r="B118" s="3244">
        <f>M18</f>
        <v>3836.1200000000003</v>
      </c>
      <c r="C118" s="3244">
        <f>M19</f>
        <v>0</v>
      </c>
      <c r="D118" s="3244" t="e">
        <f ca="1">ROUND(IF(D32="总价",C34,E118*B118/10000),0)</f>
        <v>#DIV/0!</v>
      </c>
      <c r="E118" s="3244" t="e">
        <f ca="1">ROUND(IF(C33="自定义",IF(D32="楼面单价",C34,D118*10000/B118),I118-G118),0)</f>
        <v>#DIV/0!</v>
      </c>
      <c r="F118" s="3244" t="e">
        <f ca="1">ROUND(IF(D32="总价",C35,G118*B118/10000),0)</f>
        <v>#DIV/0!</v>
      </c>
      <c r="G118" s="3244" t="e">
        <f ca="1">ROUND(IF(D32="楼面单价",C35,F118*10000/B118),0)</f>
        <v>#DIV/0!</v>
      </c>
      <c r="H118" s="3244" t="e">
        <f ca="1">ROUND(IF(D32="总价",C32,I118*B118/10000),0)</f>
        <v>#DIV/0!</v>
      </c>
      <c r="I118" s="3244" t="e">
        <f ca="1">ROUND(IF(D32="楼面单价",C32,H118*10000/B118),0)</f>
        <v>#DIV/0!</v>
      </c>
    </row>
    <row r="119" spans="1:27" ht="18.75" customHeight="1">
      <c r="A119" s="3362" t="s">
        <v>1897</v>
      </c>
      <c r="B119" s="3362"/>
      <c r="C119" s="3362"/>
      <c r="D119" s="3452" t="e">
        <f ca="1">NUMBERSTRING(INT(D118*10000),2)&amp;"元整"</f>
        <v>#DIV/0!</v>
      </c>
      <c r="E119" s="3454"/>
      <c r="F119" s="3452" t="e">
        <f ca="1">NUMBERSTRING(INT(F118*10000),2)&amp;"元整"</f>
        <v>#DIV/0!</v>
      </c>
      <c r="G119" s="3454"/>
      <c r="H119" s="3452" t="e">
        <f ca="1">NUMBERSTRING(INT(H118*10000),2)&amp;"元整"</f>
        <v>#DIV/0!</v>
      </c>
      <c r="I119" s="3454"/>
    </row>
    <row r="120" spans="1:27" ht="18.75" customHeight="1">
      <c r="A120" s="3455" t="str">
        <f>IF(项目基本情况!B9="房地产市场价值","",MID(E103,3,LEN(E103)-2))</f>
        <v>估价师知悉的法定优先受偿款</v>
      </c>
      <c r="B120" s="3456"/>
      <c r="C120" s="3457"/>
      <c r="D120" s="3455">
        <f>H103</f>
        <v>0</v>
      </c>
      <c r="E120" s="3456"/>
      <c r="F120" s="3456"/>
      <c r="G120" s="3456"/>
      <c r="H120" s="3456"/>
      <c r="I120" s="3457"/>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49" t="s">
        <v>1897</v>
      </c>
      <c r="B121" s="3450"/>
      <c r="C121" s="3451"/>
      <c r="D121" s="3452" t="str">
        <f>IF(D120=0,"零元整",NUMBERSTRING(INT(D120*10000),2)&amp;"元整")</f>
        <v>零元整</v>
      </c>
      <c r="E121" s="3453"/>
      <c r="F121" s="3453"/>
      <c r="G121" s="3453"/>
      <c r="H121" s="3453"/>
      <c r="I121" s="3454"/>
      <c r="AA121" s="734"/>
    </row>
    <row r="122" spans="1:27" ht="18.75" customHeight="1">
      <c r="A122" s="3442" t="str">
        <f>IF(项目基本情况!B9="房地产市场价值","",MID(E107,3,LEN(E107)-2))</f>
        <v>房地产抵押价值</v>
      </c>
      <c r="B122" s="3442"/>
      <c r="C122" s="3442"/>
      <c r="D122" s="3455" t="e">
        <f ca="1">H107</f>
        <v>#DIV/0!</v>
      </c>
      <c r="E122" s="3456"/>
      <c r="F122" s="3456"/>
      <c r="G122" s="3456"/>
      <c r="H122" s="3456"/>
      <c r="I122" s="3457"/>
      <c r="AA122" s="734"/>
    </row>
    <row r="123" spans="1:27" ht="18.75" customHeight="1">
      <c r="A123" s="3362" t="s">
        <v>1897</v>
      </c>
      <c r="B123" s="3362"/>
      <c r="C123" s="3362"/>
      <c r="D123" s="3452" t="e">
        <f ca="1">NUMBERSTRING(INT(D122*10000),2)&amp;"元整"</f>
        <v>#DIV/0!</v>
      </c>
      <c r="E123" s="3453"/>
      <c r="F123" s="3453"/>
      <c r="G123" s="3453"/>
      <c r="H123" s="3453"/>
      <c r="I123" s="3454"/>
      <c r="AA123" s="734"/>
    </row>
    <row r="124" spans="1:27" ht="18.75" customHeight="1">
      <c r="A124" s="3442" t="str">
        <f>IF(项目基本情况!B9="房地产市场价值","",MID(E109,3,LEN(E109)-2))</f>
        <v/>
      </c>
      <c r="B124" s="3442"/>
      <c r="C124" s="3442"/>
      <c r="D124" s="3455" t="str">
        <f>H109</f>
        <v>——</v>
      </c>
      <c r="E124" s="3456"/>
      <c r="F124" s="3456"/>
      <c r="G124" s="3456"/>
      <c r="H124" s="3456"/>
      <c r="I124" s="3457"/>
      <c r="AA124" s="734"/>
    </row>
    <row r="125" spans="1:27" ht="18.75" customHeight="1">
      <c r="A125" s="3362" t="s">
        <v>1897</v>
      </c>
      <c r="B125" s="3362"/>
      <c r="C125" s="3362"/>
      <c r="D125" s="3452" t="e">
        <f>NUMBERSTRING(INT(D124*10000),2)&amp;"元整"</f>
        <v>#VALUE!</v>
      </c>
      <c r="E125" s="3453"/>
      <c r="F125" s="3453"/>
      <c r="G125" s="3453"/>
      <c r="H125" s="3453"/>
      <c r="I125" s="3454"/>
      <c r="AA125" s="734"/>
    </row>
    <row r="126" spans="1:27" ht="18.75" customHeight="1">
      <c r="A126" s="3442" t="str">
        <f>IF(项目基本情况!B9="房地产市场价值","",MID(E111,3,LEN(E111)-2))</f>
        <v/>
      </c>
      <c r="B126" s="3442"/>
      <c r="C126" s="3442"/>
      <c r="D126" s="3455" t="str">
        <f>H111</f>
        <v>——</v>
      </c>
      <c r="E126" s="3456"/>
      <c r="F126" s="3456"/>
      <c r="G126" s="3456"/>
      <c r="H126" s="3456"/>
      <c r="I126" s="3457"/>
      <c r="AA126" s="734"/>
    </row>
    <row r="127" spans="1:27" ht="18.75" customHeight="1">
      <c r="A127" s="3362" t="s">
        <v>1897</v>
      </c>
      <c r="B127" s="3362"/>
      <c r="C127" s="3362"/>
      <c r="D127" s="3452" t="e">
        <f>NUMBERSTRING(INT(D126*10000),2)&amp;"元整"</f>
        <v>#VALUE!</v>
      </c>
      <c r="E127" s="3453"/>
      <c r="F127" s="3453"/>
      <c r="G127" s="3453"/>
      <c r="H127" s="3453"/>
      <c r="I127" s="3454"/>
      <c r="AA127" s="734"/>
    </row>
    <row r="128" spans="1:27" ht="21.75" customHeight="1">
      <c r="A128" s="3458" t="s">
        <v>1898</v>
      </c>
      <c r="B128" s="3458"/>
      <c r="C128" s="3458"/>
      <c r="D128" s="3458"/>
      <c r="E128" s="3458"/>
      <c r="F128" s="3458"/>
      <c r="G128" s="3458"/>
      <c r="H128" s="3458"/>
      <c r="I128" s="3458"/>
      <c r="AA128" s="734"/>
    </row>
    <row r="129" spans="1:35" ht="21.75" customHeight="1">
      <c r="A129" s="1964" t="s">
        <v>1899</v>
      </c>
      <c r="B129" s="1965"/>
      <c r="C129" s="1966" t="s">
        <v>1900</v>
      </c>
      <c r="D129" s="1967"/>
      <c r="E129" s="1967"/>
      <c r="F129" s="1967"/>
      <c r="G129" s="1967"/>
      <c r="H129" s="1968"/>
      <c r="I129" s="1969"/>
      <c r="AA129" s="734"/>
    </row>
    <row r="130" spans="1:35" ht="21.75" customHeight="1">
      <c r="A130" s="1970">
        <v>1</v>
      </c>
      <c r="B130" s="1971"/>
      <c r="C130" s="1971"/>
      <c r="D130" s="1972"/>
      <c r="E130" s="1972"/>
      <c r="F130" s="1972"/>
      <c r="G130" s="1972"/>
      <c r="H130" s="1973"/>
      <c r="I130" s="1974"/>
      <c r="AA130" s="734"/>
    </row>
    <row r="131" spans="1:35" ht="21.75" customHeight="1">
      <c r="A131" s="1970">
        <v>2</v>
      </c>
      <c r="B131" s="1971"/>
      <c r="C131" s="1971"/>
      <c r="D131" s="1972"/>
      <c r="E131" s="1972"/>
      <c r="F131" s="1972"/>
      <c r="G131" s="1972"/>
      <c r="H131" s="1973"/>
      <c r="I131" s="1974"/>
      <c r="AA131" s="734"/>
    </row>
    <row r="132" spans="1:35" ht="21.75" customHeight="1">
      <c r="A132" s="1970">
        <v>3</v>
      </c>
      <c r="B132" s="1971"/>
      <c r="C132" s="1971"/>
      <c r="D132" s="1972"/>
      <c r="E132" s="1972"/>
      <c r="F132" s="1972"/>
      <c r="G132" s="1972"/>
      <c r="H132" s="1973"/>
      <c r="I132" s="1974"/>
      <c r="AA132" s="734"/>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4"/>
    </row>
    <row r="135" spans="1:35" ht="21.75" customHeight="1">
      <c r="A135" s="734"/>
      <c r="B135" s="734"/>
      <c r="C135" s="734"/>
      <c r="D135" s="734"/>
      <c r="E135" s="734"/>
      <c r="F135" s="1980" t="s">
        <v>1901</v>
      </c>
      <c r="G135" s="1981"/>
      <c r="H135" s="1981"/>
      <c r="I135" s="1982" t="s">
        <v>1902</v>
      </c>
    </row>
    <row r="136" spans="1:35" ht="21.75" customHeight="1">
      <c r="A136" s="734"/>
      <c r="B136" s="1983"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1"/>
      <c r="C138" s="1981"/>
      <c r="D138" s="1981"/>
      <c r="E138" s="1981"/>
      <c r="F138" s="1981"/>
      <c r="G138" s="1981"/>
      <c r="H138" s="1981"/>
      <c r="I138" s="1982" t="s">
        <v>1904</v>
      </c>
    </row>
    <row r="139" spans="1:35" ht="21.75" customHeight="1">
      <c r="A139" s="734"/>
      <c r="B139" s="1983" t="s">
        <v>1905</v>
      </c>
      <c r="C139" s="734"/>
      <c r="D139" s="734"/>
      <c r="E139" s="734"/>
      <c r="F139" s="734"/>
      <c r="G139" s="734"/>
      <c r="H139" s="734"/>
      <c r="I139" s="734"/>
    </row>
    <row r="140" spans="1:35" ht="21.75" customHeight="1">
      <c r="A140" s="734"/>
      <c r="B140" s="1983"/>
      <c r="C140" s="734"/>
      <c r="D140" s="734"/>
      <c r="E140" s="734"/>
      <c r="F140" s="734"/>
      <c r="G140" s="734"/>
      <c r="H140" s="734"/>
      <c r="I140" s="734"/>
    </row>
    <row r="141" spans="1:35" ht="21.75" customHeight="1">
      <c r="A141" s="734"/>
      <c r="B141" s="1981"/>
      <c r="C141" s="1981"/>
      <c r="D141" s="1981"/>
      <c r="E141" s="1981"/>
      <c r="F141" s="1981"/>
      <c r="G141" s="1981"/>
      <c r="H141" s="1981"/>
      <c r="I141" s="1982" t="s">
        <v>1904</v>
      </c>
    </row>
    <row r="142" spans="1:35" ht="21.75" customHeight="1">
      <c r="A142" s="734"/>
      <c r="B142" s="1983"/>
      <c r="C142" s="1984"/>
      <c r="D142" s="1985"/>
      <c r="E142" s="1985"/>
      <c r="F142" s="1874"/>
      <c r="G142" s="734"/>
      <c r="H142" s="734"/>
      <c r="I142" s="734"/>
    </row>
    <row r="143" spans="1:35" s="135" customFormat="1" ht="21.75" customHeight="1">
      <c r="A143" s="734"/>
      <c r="B143" s="1983"/>
      <c r="C143" s="1984"/>
      <c r="D143" s="1985"/>
      <c r="E143" s="1985"/>
      <c r="F143" s="187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95" priority="10" stopIfTrue="1" operator="equal">
      <formula>25</formula>
    </cfRule>
  </conditionalFormatting>
  <conditionalFormatting sqref="C8:C9">
    <cfRule type="cellIs" dxfId="194" priority="9" stopIfTrue="1" operator="equal">
      <formula>15</formula>
    </cfRule>
  </conditionalFormatting>
  <conditionalFormatting sqref="C14:C16">
    <cfRule type="cellIs" dxfId="193" priority="8" stopIfTrue="1" operator="equal">
      <formula>30</formula>
    </cfRule>
  </conditionalFormatting>
  <conditionalFormatting sqref="D5:D7">
    <cfRule type="cellIs" dxfId="192" priority="7" stopIfTrue="1" operator="equal">
      <formula>25</formula>
    </cfRule>
  </conditionalFormatting>
  <conditionalFormatting sqref="D8:D9">
    <cfRule type="cellIs" dxfId="191" priority="6" stopIfTrue="1" operator="equal">
      <formula>15</formula>
    </cfRule>
  </conditionalFormatting>
  <conditionalFormatting sqref="C10:D13">
    <cfRule type="cellIs" dxfId="190" priority="5" stopIfTrue="1" operator="equal">
      <formula>15</formula>
    </cfRule>
  </conditionalFormatting>
  <conditionalFormatting sqref="D14:D16">
    <cfRule type="cellIs" dxfId="189" priority="4"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886"/>
    <col min="3" max="4" width="12.625" style="1886" customWidth="1"/>
    <col min="5" max="9" width="12.625" style="1886"/>
    <col min="10" max="11" width="12.625" style="734" customWidth="1"/>
    <col min="12" max="12" width="12.625" style="734"/>
    <col min="13" max="13" width="14.125" style="734" bestFit="1" customWidth="1"/>
    <col min="14" max="26" width="12.625" style="734"/>
    <col min="27" max="35" width="12.625" style="1885"/>
    <col min="36" max="16384" width="12.625" style="1886"/>
  </cols>
  <sheetData>
    <row r="1" spans="1:12" ht="21.75" customHeight="1" thickBot="1">
      <c r="A1" s="1770" t="s">
        <v>1707</v>
      </c>
      <c r="B1" s="1880"/>
      <c r="C1" s="1881"/>
      <c r="D1" s="1880"/>
      <c r="E1" s="1880"/>
      <c r="F1" s="1882" t="s">
        <v>1708</v>
      </c>
      <c r="G1" s="1694"/>
      <c r="H1" s="1883" t="str">
        <f>IF(G1="现房","——","估价对象范围")</f>
        <v>估价对象范围</v>
      </c>
      <c r="I1" s="1884"/>
    </row>
    <row r="2" spans="1:12" ht="21.75" customHeight="1" thickBot="1">
      <c r="A2" s="3367" t="str">
        <f>项目基本情况!S2</f>
        <v>北京市房地产</v>
      </c>
      <c r="B2" s="3368"/>
      <c r="C2" s="3368"/>
      <c r="D2" s="3368"/>
      <c r="E2" s="3368"/>
      <c r="F2" s="3368"/>
      <c r="G2" s="3368"/>
      <c r="H2" s="3368"/>
      <c r="I2" s="3369"/>
    </row>
    <row r="3" spans="1:12" ht="12.75">
      <c r="A3" s="3370" t="s">
        <v>1709</v>
      </c>
      <c r="B3" s="3371"/>
      <c r="C3" s="3371"/>
      <c r="D3" s="3371"/>
      <c r="E3" s="3371"/>
      <c r="F3" s="3371"/>
      <c r="G3" s="3371"/>
      <c r="H3" s="3371"/>
      <c r="I3" s="3371"/>
    </row>
    <row r="4" spans="1:12" ht="14.25">
      <c r="A4" s="1887" t="s">
        <v>1710</v>
      </c>
      <c r="B4" s="1888" t="s">
        <v>1711</v>
      </c>
      <c r="C4" s="1889" t="s">
        <v>3186</v>
      </c>
      <c r="D4" s="1889" t="s">
        <v>3180</v>
      </c>
      <c r="E4" s="3372" t="s">
        <v>1712</v>
      </c>
      <c r="F4" s="3373"/>
      <c r="G4" s="3373"/>
      <c r="H4" s="3373"/>
      <c r="I4" s="337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2" t="s">
        <v>1713</v>
      </c>
      <c r="B5" s="3363">
        <v>25</v>
      </c>
      <c r="C5" s="3364"/>
      <c r="D5" s="3366"/>
      <c r="E5" s="136" t="s">
        <v>1714</v>
      </c>
      <c r="F5" s="1890"/>
      <c r="G5" s="1890"/>
      <c r="H5" s="1890"/>
      <c r="I5" s="1505"/>
    </row>
    <row r="6" spans="1:12" ht="12.75">
      <c r="A6" s="3362"/>
      <c r="B6" s="3363"/>
      <c r="C6" s="3375"/>
      <c r="D6" s="3366"/>
      <c r="E6" s="136" t="s">
        <v>1715</v>
      </c>
      <c r="F6" s="1890"/>
      <c r="G6" s="1890"/>
      <c r="H6" s="1890"/>
      <c r="I6" s="1505"/>
    </row>
    <row r="7" spans="1:12" ht="12.75">
      <c r="A7" s="3362"/>
      <c r="B7" s="3363"/>
      <c r="C7" s="3365"/>
      <c r="D7" s="3366"/>
      <c r="E7" s="136" t="s">
        <v>1716</v>
      </c>
      <c r="F7" s="1890"/>
      <c r="G7" s="1890"/>
      <c r="H7" s="1890"/>
      <c r="I7" s="1505"/>
    </row>
    <row r="8" spans="1:12" ht="12.75">
      <c r="A8" s="3362" t="s">
        <v>1717</v>
      </c>
      <c r="B8" s="3363">
        <v>15</v>
      </c>
      <c r="C8" s="3364"/>
      <c r="D8" s="3366"/>
      <c r="E8" s="136" t="s">
        <v>1718</v>
      </c>
      <c r="F8" s="1890"/>
      <c r="G8" s="1890"/>
      <c r="H8" s="1890"/>
      <c r="I8" s="1505"/>
    </row>
    <row r="9" spans="1:12" ht="12.75">
      <c r="A9" s="3362"/>
      <c r="B9" s="3363"/>
      <c r="C9" s="3365"/>
      <c r="D9" s="3366"/>
      <c r="E9" s="136" t="s">
        <v>1719</v>
      </c>
      <c r="F9" s="1890"/>
      <c r="G9" s="1890"/>
      <c r="H9" s="1890"/>
      <c r="I9" s="1505"/>
    </row>
    <row r="10" spans="1:12" ht="12.75">
      <c r="A10" s="3362" t="s">
        <v>1720</v>
      </c>
      <c r="B10" s="3363">
        <v>15</v>
      </c>
      <c r="C10" s="3364"/>
      <c r="D10" s="3366"/>
      <c r="E10" s="136" t="s">
        <v>1721</v>
      </c>
      <c r="F10" s="1890"/>
      <c r="G10" s="1890"/>
      <c r="H10" s="1890"/>
      <c r="I10" s="1505"/>
    </row>
    <row r="11" spans="1:12" ht="12.75">
      <c r="A11" s="3362"/>
      <c r="B11" s="3363"/>
      <c r="C11" s="3365"/>
      <c r="D11" s="3366"/>
      <c r="E11" s="136" t="s">
        <v>1722</v>
      </c>
      <c r="F11" s="1890"/>
      <c r="G11" s="1890"/>
      <c r="H11" s="1890"/>
      <c r="I11" s="1505"/>
    </row>
    <row r="12" spans="1:12" ht="12.75">
      <c r="A12" s="3362" t="s">
        <v>1723</v>
      </c>
      <c r="B12" s="3363">
        <v>15</v>
      </c>
      <c r="C12" s="3364"/>
      <c r="D12" s="3366"/>
      <c r="E12" s="136" t="s">
        <v>1724</v>
      </c>
      <c r="F12" s="1890"/>
      <c r="G12" s="1890"/>
      <c r="H12" s="1890"/>
      <c r="I12" s="1505"/>
    </row>
    <row r="13" spans="1:12" ht="12.75">
      <c r="A13" s="3362"/>
      <c r="B13" s="3363"/>
      <c r="C13" s="3365"/>
      <c r="D13" s="3366"/>
      <c r="E13" s="136" t="s">
        <v>1725</v>
      </c>
      <c r="F13" s="1890"/>
      <c r="G13" s="1890"/>
      <c r="H13" s="1890"/>
      <c r="I13" s="1505"/>
    </row>
    <row r="14" spans="1:12" ht="12.75">
      <c r="A14" s="3362" t="s">
        <v>1726</v>
      </c>
      <c r="B14" s="3363">
        <v>30</v>
      </c>
      <c r="C14" s="3364">
        <v>5</v>
      </c>
      <c r="D14" s="3366">
        <v>5</v>
      </c>
      <c r="E14" s="136" t="s">
        <v>1727</v>
      </c>
      <c r="F14" s="1890"/>
      <c r="G14" s="1890"/>
      <c r="H14" s="1890"/>
      <c r="I14" s="1505"/>
    </row>
    <row r="15" spans="1:12" ht="12.75">
      <c r="A15" s="3362"/>
      <c r="B15" s="3363"/>
      <c r="C15" s="3375"/>
      <c r="D15" s="3366"/>
      <c r="E15" s="136" t="s">
        <v>1728</v>
      </c>
      <c r="F15" s="1890"/>
      <c r="G15" s="1890"/>
      <c r="H15" s="1890"/>
      <c r="I15" s="1505"/>
    </row>
    <row r="16" spans="1:12" ht="12.75">
      <c r="A16" s="3362"/>
      <c r="B16" s="3363"/>
      <c r="C16" s="3365"/>
      <c r="D16" s="3366"/>
      <c r="E16" s="136" t="s">
        <v>1729</v>
      </c>
      <c r="F16" s="1890"/>
      <c r="G16" s="1890"/>
      <c r="H16" s="1890"/>
      <c r="I16" s="1505"/>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376" t="s">
        <v>2631</v>
      </c>
      <c r="F18" s="3377"/>
      <c r="G18" s="3377"/>
      <c r="H18" s="3377"/>
      <c r="I18" s="3377"/>
      <c r="K18" s="308" t="s">
        <v>1734</v>
      </c>
      <c r="L18" s="308">
        <f>IF(C1="",'数据-汇总表'!E3,SUMIF(项目类型,C1,'数据-汇总表'!E17:E26)+SUMIF(项目类型,C1,'数据-汇总表'!I17:I26))</f>
        <v>3836.1200000000003</v>
      </c>
      <c r="M18" s="308">
        <f>IF(C1="",'数据-汇总表'!E3,SUMIF(项目类型,C1,'数据-汇总表'!E17:E26))</f>
        <v>3836.1200000000003</v>
      </c>
    </row>
    <row r="19" spans="1:36" ht="15">
      <c r="A19" s="1894" t="s">
        <v>1735</v>
      </c>
      <c r="B19" s="1895" t="s">
        <v>1736</v>
      </c>
      <c r="C19" s="139">
        <f ca="1">SUMIF(INDIRECT("'"&amp;C4&amp;"'"&amp;"!A:A"),结果表!B19,INDIRECT("'"&amp;C4&amp;"'"&amp;"!B:B"))</f>
        <v>7660</v>
      </c>
      <c r="D19" s="140">
        <f ca="1">SUMIF(INDIRECT("'"&amp;D4&amp;"'"&amp;"!A:A"),结果表!B19,INDIRECT("'"&amp;D4&amp;"'"&amp;"!B:B"))</f>
        <v>7806</v>
      </c>
      <c r="E19" s="1894" t="s">
        <v>1737</v>
      </c>
      <c r="F19" s="1895" t="s">
        <v>1736</v>
      </c>
      <c r="G19" s="141">
        <f ca="1">ROUND(C19*$C$18+D19*$D$18,0)</f>
        <v>7733</v>
      </c>
      <c r="H19" s="1896"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897"/>
      <c r="B20" s="1135" t="s">
        <v>1740</v>
      </c>
      <c r="C20" s="142">
        <f ca="1">SUMIF(INDIRECT("'"&amp;C4&amp;"'"&amp;"!A:A"),结果表!B20,INDIRECT("'"&amp;C4&amp;"'"&amp;"!B:B"))</f>
        <v>19968</v>
      </c>
      <c r="D20" s="143">
        <f ca="1">SUMIF(INDIRECT("'"&amp;D4&amp;"'"&amp;"!A:A"),结果表!B20,INDIRECT("'"&amp;D4&amp;"'"&amp;"!B:B"))</f>
        <v>20349</v>
      </c>
      <c r="E20" s="1897"/>
      <c r="F20" s="1135" t="s">
        <v>1740</v>
      </c>
      <c r="G20" s="144">
        <f ca="1">ROUND(C20*$C$18+D20*$D$18,0)</f>
        <v>20159</v>
      </c>
      <c r="H20" s="895" t="s">
        <v>1741</v>
      </c>
      <c r="I20" s="134"/>
    </row>
    <row r="21" spans="1:36" ht="15" customHeight="1" thickBot="1">
      <c r="A21" s="915"/>
      <c r="B21" s="1898" t="s">
        <v>1742</v>
      </c>
      <c r="C21" s="728" t="e">
        <f ca="1">ROUND(C19*10000/L19,0)</f>
        <v>#DIV/0!</v>
      </c>
      <c r="D21" s="729" t="e">
        <f ca="1">ROUND(D19*10000/L19,0)</f>
        <v>#DIV/0!</v>
      </c>
      <c r="E21" s="915"/>
      <c r="F21" s="1898" t="s">
        <v>1742</v>
      </c>
      <c r="G21" s="145" t="e">
        <f ca="1">ROUND(G19*10000/L19,0)</f>
        <v>#DIV/0!</v>
      </c>
      <c r="H21" s="1899" t="s">
        <v>1741</v>
      </c>
      <c r="I21" s="134"/>
    </row>
    <row r="22" spans="1:36" ht="15" thickBot="1">
      <c r="A22" s="1821" t="s">
        <v>1743</v>
      </c>
      <c r="B22" s="1900"/>
      <c r="C22" s="1901"/>
      <c r="D22" s="730">
        <f ca="1">IF(C19&lt;D19,D19/C19-1,C19/D19-1)</f>
        <v>1.9060052219321166E-2</v>
      </c>
      <c r="E22" s="134"/>
      <c r="F22" s="134"/>
      <c r="G22" s="134"/>
      <c r="H22" s="134"/>
      <c r="I22" s="134"/>
    </row>
    <row r="23" spans="1:36" ht="13.5" thickBot="1">
      <c r="A23" s="1880"/>
      <c r="B23" s="1880"/>
      <c r="C23" s="1880"/>
      <c r="D23" s="1880"/>
      <c r="E23" s="134"/>
      <c r="F23" s="134"/>
      <c r="G23" s="134"/>
      <c r="H23" s="134"/>
      <c r="I23" s="134"/>
    </row>
    <row r="24" spans="1:36" ht="14.25">
      <c r="A24" s="3378" t="s">
        <v>1744</v>
      </c>
      <c r="B24" s="1895" t="s">
        <v>1736</v>
      </c>
      <c r="C24" s="141">
        <f>IF(B30=0,0,D30)</f>
        <v>0</v>
      </c>
      <c r="D24" s="1902"/>
      <c r="E24" s="134"/>
      <c r="F24" s="134"/>
      <c r="G24" s="134"/>
      <c r="H24" s="134"/>
      <c r="I24" s="134"/>
    </row>
    <row r="25" spans="1:36" ht="14.25">
      <c r="A25" s="3379"/>
      <c r="B25" s="1135"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8" t="s">
        <v>2632</v>
      </c>
      <c r="F30" s="134"/>
      <c r="G30" s="134"/>
      <c r="H30" s="134"/>
      <c r="I30" s="134"/>
    </row>
    <row r="31" spans="1:36" s="2474" customFormat="1" ht="26.45" customHeight="1" thickTop="1" thickBot="1">
      <c r="A31" s="2469"/>
      <c r="B31" s="2470"/>
      <c r="C31" s="2470"/>
      <c r="D31" s="2470"/>
      <c r="E31" s="2470"/>
      <c r="F31" s="2470"/>
      <c r="G31" s="2470"/>
      <c r="H31" s="2470"/>
      <c r="I31" s="2471" t="s">
        <v>2633</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1750</v>
      </c>
      <c r="B32" s="1907"/>
      <c r="C32" s="149">
        <f ca="1">IF(D32="总价",G19-C24,G20-C25)</f>
        <v>7733</v>
      </c>
      <c r="D32" s="1908" t="s">
        <v>3195</v>
      </c>
      <c r="E32" s="134"/>
      <c r="F32" s="134"/>
      <c r="G32" s="134"/>
      <c r="H32" s="134"/>
      <c r="I32" s="134"/>
    </row>
    <row r="33" spans="1:15" ht="15">
      <c r="A33" s="872" t="s">
        <v>1751</v>
      </c>
      <c r="B33" s="1909"/>
      <c r="C33" s="1910" t="s">
        <v>3196</v>
      </c>
      <c r="D33" s="1911" t="s">
        <v>3186</v>
      </c>
      <c r="E33" s="1912" t="s">
        <v>1752</v>
      </c>
      <c r="F33" s="1913" t="str">
        <f>IF(D32="楼面单价","取值（单价）","取值（总价）")</f>
        <v>取值（总价）</v>
      </c>
      <c r="G33" s="134"/>
      <c r="H33" s="134"/>
      <c r="I33" s="134"/>
    </row>
    <row r="34" spans="1:15" ht="15">
      <c r="A34" s="1914"/>
      <c r="B34" s="1915" t="s">
        <v>1753</v>
      </c>
      <c r="C34" s="153">
        <f ca="1">IF(C33="自定义",F34,C32-C35)</f>
        <v>5266</v>
      </c>
      <c r="D34" s="948">
        <f ca="1">IF(C33="自定义",ROUND(C34/C32,3),IF(C33="收益比率",SUMIF(INDIRECT("'"&amp;D33&amp;"'"&amp;"!b:b"),"土地收益比率",INDIRECT("'"&amp;D33&amp;"'"&amp;"!c:c")),SUMIF(INDIRECT("'"&amp;D33&amp;"'"&amp;"!b:b"),"土地成本比率",INDIRECT("'"&amp;D33&amp;"'"&amp;"!c:c"))))</f>
        <v>0.68100000000000005</v>
      </c>
      <c r="E34" s="1916" t="s">
        <v>1754</v>
      </c>
      <c r="F34" s="1448"/>
      <c r="G34" s="134"/>
      <c r="H34" s="134"/>
      <c r="I34" s="134"/>
    </row>
    <row r="35" spans="1:15" ht="15.75" thickBot="1">
      <c r="A35" s="1917"/>
      <c r="B35" s="1918" t="s">
        <v>1755</v>
      </c>
      <c r="C35" s="1282">
        <f ca="1">IF(C33="自定义",F35,ROUND(C32*D35,0))</f>
        <v>2467</v>
      </c>
      <c r="D35" s="1283">
        <f ca="1">IF(C33="自定义",ROUND(C35/C32,3),IF(C33="收益比率",SUMIF(INDIRECT("'"&amp;D33&amp;"'"&amp;"!b:b"),"建筑物收益比率",INDIRECT("'"&amp;D33&amp;"'"&amp;"!c:c")),SUMIF(INDIRECT("'"&amp;D33&amp;"'"&amp;"!b:b"),"建筑物成本比率",INDIRECT("'"&amp;D33&amp;"'"&amp;"!c:c"))))</f>
        <v>0.31900000000000001</v>
      </c>
      <c r="E35" s="1919" t="s">
        <v>1756</v>
      </c>
      <c r="F35" s="159"/>
      <c r="G35" s="134"/>
      <c r="H35" s="134"/>
      <c r="I35" s="134"/>
    </row>
    <row r="36" spans="1:15" ht="15.75" thickBot="1">
      <c r="A36" s="3380" t="s">
        <v>1757</v>
      </c>
      <c r="B36" s="1920" t="s">
        <v>1758</v>
      </c>
      <c r="C36" s="150"/>
      <c r="D36" s="1921"/>
      <c r="E36" s="1922"/>
      <c r="F36" s="1923"/>
      <c r="G36" s="134"/>
      <c r="H36" s="134"/>
      <c r="I36" s="134"/>
    </row>
    <row r="37" spans="1:15" ht="15.75" thickBot="1">
      <c r="A37" s="3381"/>
      <c r="B37" s="1807" t="s">
        <v>1759</v>
      </c>
      <c r="C37" s="152"/>
      <c r="D37" s="1251"/>
      <c r="E37" s="1251"/>
      <c r="F37" s="1923"/>
      <c r="G37" s="134"/>
      <c r="H37" s="134"/>
      <c r="I37" s="134"/>
    </row>
    <row r="38" spans="1:15" ht="15.75" thickBot="1">
      <c r="A38" s="3382"/>
      <c r="B38" s="1924" t="s">
        <v>1760</v>
      </c>
      <c r="C38" s="683"/>
      <c r="D38" s="1925" t="s">
        <v>1761</v>
      </c>
      <c r="E38" s="1251"/>
      <c r="F38" s="1923"/>
      <c r="G38" s="134"/>
      <c r="H38" s="134"/>
      <c r="I38" s="134"/>
    </row>
    <row r="39" spans="1:15" ht="15">
      <c r="A39" s="1897" t="s">
        <v>1762</v>
      </c>
      <c r="B39" s="1926" t="s">
        <v>1763</v>
      </c>
      <c r="C39" s="1927" t="s">
        <v>1764</v>
      </c>
      <c r="D39" s="1927" t="s">
        <v>1765</v>
      </c>
      <c r="E39" s="1928" t="s">
        <v>1766</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10"/>
      <c r="B43" s="1710"/>
      <c r="C43" s="1710"/>
      <c r="D43" s="1710"/>
      <c r="E43" s="1710"/>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383" t="s">
        <v>1771</v>
      </c>
      <c r="B45" s="3384"/>
      <c r="C45" s="3385"/>
      <c r="D45" s="160">
        <f ca="1">ROUND((G19)*F45,0)</f>
        <v>7733</v>
      </c>
      <c r="E45" s="161" t="s">
        <v>1772</v>
      </c>
      <c r="F45" s="162">
        <v>1</v>
      </c>
      <c r="G45" s="163" t="s">
        <v>1773</v>
      </c>
      <c r="H45" s="134"/>
      <c r="I45" s="134"/>
      <c r="J45" s="3386" t="s">
        <v>1774</v>
      </c>
      <c r="K45" s="3386"/>
      <c r="L45" s="3386"/>
      <c r="M45" s="3386"/>
      <c r="N45" s="3386"/>
      <c r="O45" s="3386"/>
    </row>
    <row r="46" spans="1:15" ht="14.25" customHeight="1">
      <c r="A46" s="3387" t="s">
        <v>1775</v>
      </c>
      <c r="B46" s="3388"/>
      <c r="C46" s="3388"/>
      <c r="D46" s="3388"/>
      <c r="E46" s="3388"/>
      <c r="F46" s="3388"/>
      <c r="G46" s="3389"/>
      <c r="H46" s="1939"/>
      <c r="I46" s="164"/>
      <c r="J46" s="2695">
        <v>1</v>
      </c>
      <c r="K46" s="3390" t="s">
        <v>1776</v>
      </c>
      <c r="L46" s="3390"/>
      <c r="M46" s="3391"/>
      <c r="N46" s="3391"/>
      <c r="O46" s="3391"/>
    </row>
    <row r="47" spans="1:15" ht="12" customHeight="1">
      <c r="A47" s="165" t="s">
        <v>1777</v>
      </c>
      <c r="B47" s="166"/>
      <c r="C47" s="167"/>
      <c r="D47" s="1197" t="s">
        <v>1778</v>
      </c>
      <c r="E47" s="308" t="s">
        <v>1779</v>
      </c>
      <c r="F47" s="168" t="s">
        <v>1780</v>
      </c>
      <c r="G47" s="2718" t="s">
        <v>1781</v>
      </c>
      <c r="H47" s="2719"/>
      <c r="I47" s="164"/>
      <c r="J47" s="2695">
        <v>2</v>
      </c>
      <c r="K47" s="3390" t="s">
        <v>1782</v>
      </c>
      <c r="L47" s="3390"/>
      <c r="M47" s="3396">
        <f>'数据-取费表'!B2</f>
        <v>44788</v>
      </c>
      <c r="N47" s="3396"/>
      <c r="O47" s="3396"/>
    </row>
    <row r="48" spans="1:15" ht="25.5">
      <c r="A48" s="3397" t="s">
        <v>1783</v>
      </c>
      <c r="B48" s="3398"/>
      <c r="C48" s="3398"/>
      <c r="D48" s="2494">
        <f ca="1">IF(H48="情况1",0,IF(H48="情况2",D52,IF(H48="情况3",D53,IF(H48="情况4",D54))))</f>
        <v>0</v>
      </c>
      <c r="E48" s="2504" t="str">
        <f>IF(H48="情况4","(销售额-原购置价)×税（费）率","销售额×税（费）率")</f>
        <v>(销售额-原购置价)×税（费）率</v>
      </c>
      <c r="F48" s="2720">
        <f>IF(H48="情况1","免征",'数据-取费表'!B41)</f>
        <v>5.5000000000000007E-2</v>
      </c>
      <c r="G48" s="2721" t="s">
        <v>1784</v>
      </c>
      <c r="H48" s="2722" t="s">
        <v>3205</v>
      </c>
      <c r="I48" s="1939"/>
      <c r="J48" s="2695">
        <v>3</v>
      </c>
      <c r="K48" s="3390" t="s">
        <v>1785</v>
      </c>
      <c r="L48" s="3390"/>
      <c r="M48" s="3399">
        <f ca="1">H101</f>
        <v>7733</v>
      </c>
      <c r="N48" s="3399"/>
      <c r="O48" s="3399"/>
    </row>
    <row r="49" spans="1:35" ht="25.5" customHeight="1">
      <c r="A49" s="2503" t="s">
        <v>1786</v>
      </c>
      <c r="B49" s="3392" t="s">
        <v>1787</v>
      </c>
      <c r="C49" s="3392"/>
      <c r="D49" s="1723">
        <v>0</v>
      </c>
      <c r="E49" s="330" t="s">
        <v>1788</v>
      </c>
      <c r="F49" s="2596" t="s">
        <v>34</v>
      </c>
      <c r="G49" s="3400"/>
      <c r="H49" s="2475" t="s">
        <v>2634</v>
      </c>
      <c r="I49" s="2476"/>
      <c r="J49" s="2695">
        <v>4</v>
      </c>
      <c r="K49" s="3390" t="str">
        <f>IF(项目基本情况!E8="房地产抵押价值","房地产抵押价值","抵押担保权已注销时的房地产抵押价值")</f>
        <v>房地产抵押价值</v>
      </c>
      <c r="L49" s="3390"/>
      <c r="M49" s="3399">
        <f ca="1">IF(项目基本情况!E8="房地产抵押价值",H107,H109)</f>
        <v>7733</v>
      </c>
      <c r="N49" s="3399"/>
      <c r="O49" s="3399"/>
    </row>
    <row r="50" spans="1:35" ht="25.5" customHeight="1">
      <c r="A50" s="2723"/>
      <c r="B50" s="3392" t="s">
        <v>1789</v>
      </c>
      <c r="C50" s="3392"/>
      <c r="D50" s="2724"/>
      <c r="E50" s="338"/>
      <c r="F50" s="2596"/>
      <c r="G50" s="3401"/>
      <c r="H50" s="2477" t="s">
        <v>2635</v>
      </c>
      <c r="I50" s="2476"/>
      <c r="J50" s="3386" t="s">
        <v>1790</v>
      </c>
      <c r="K50" s="3386"/>
      <c r="L50" s="3386"/>
      <c r="M50" s="3386"/>
      <c r="N50" s="3386"/>
      <c r="O50" s="3386"/>
    </row>
    <row r="51" spans="1:35" ht="20.45" customHeight="1">
      <c r="A51" s="2725"/>
      <c r="B51" s="3392" t="s">
        <v>1791</v>
      </c>
      <c r="C51" s="3392"/>
      <c r="D51" s="1197"/>
      <c r="E51" s="333"/>
      <c r="F51" s="2596"/>
      <c r="G51" s="3402"/>
      <c r="H51" s="2477" t="s">
        <v>2636</v>
      </c>
      <c r="I51" s="2476"/>
      <c r="J51" s="2696" t="s">
        <v>1792</v>
      </c>
      <c r="K51" s="3390" t="s">
        <v>1793</v>
      </c>
      <c r="L51" s="3390"/>
      <c r="M51" s="2696" t="s">
        <v>1794</v>
      </c>
      <c r="N51" s="2696" t="s">
        <v>1795</v>
      </c>
      <c r="O51" s="2696" t="s">
        <v>1796</v>
      </c>
    </row>
    <row r="52" spans="1:35" ht="24" customHeight="1">
      <c r="A52" s="2505" t="s">
        <v>1797</v>
      </c>
      <c r="B52" s="3392" t="s">
        <v>1798</v>
      </c>
      <c r="C52" s="3392"/>
      <c r="D52" s="1197">
        <f ca="1">ROUND(D45*'数据-取费表'!B41/(1+'数据-取费表'!C42),0)</f>
        <v>405</v>
      </c>
      <c r="E52" s="2504" t="s">
        <v>1799</v>
      </c>
      <c r="F52" s="2726">
        <f>'数据-取费表'!B41</f>
        <v>5.5000000000000007E-2</v>
      </c>
      <c r="G52" s="2727"/>
      <c r="H52" s="2716"/>
      <c r="I52" s="1940"/>
      <c r="J52" s="2695">
        <v>1</v>
      </c>
      <c r="K52" s="3393" t="s">
        <v>1800</v>
      </c>
      <c r="L52" s="3393"/>
      <c r="M52" s="2697">
        <f ca="1">D48</f>
        <v>0</v>
      </c>
      <c r="N52" s="2695" t="str">
        <f>E48</f>
        <v>(销售额-原购置价)×税（费）率</v>
      </c>
      <c r="O52" s="2698">
        <f>F48</f>
        <v>5.5000000000000007E-2</v>
      </c>
    </row>
    <row r="53" spans="1:35" ht="12" customHeight="1">
      <c r="A53" s="2505" t="s">
        <v>1801</v>
      </c>
      <c r="B53" s="3394" t="s">
        <v>2791</v>
      </c>
      <c r="C53" s="3395"/>
      <c r="D53" s="1197">
        <f ca="1">ROUND(D45*'数据-取费表'!B41/(1+'数据-取费表'!C42),0)</f>
        <v>405</v>
      </c>
      <c r="E53" s="2504" t="s">
        <v>1799</v>
      </c>
      <c r="F53" s="2726">
        <f>'数据-取费表'!B41</f>
        <v>5.5000000000000007E-2</v>
      </c>
      <c r="G53" s="2727"/>
      <c r="H53" s="2716"/>
      <c r="I53" s="1940"/>
      <c r="J53" s="2695">
        <v>2</v>
      </c>
      <c r="K53" s="3393" t="s">
        <v>1802</v>
      </c>
      <c r="L53" s="3393"/>
      <c r="M53" s="2697">
        <f t="shared" ref="M53:O54" ca="1" si="0">D55</f>
        <v>4</v>
      </c>
      <c r="N53" s="2695" t="str">
        <f t="shared" si="0"/>
        <v>销售额×税（费）率</v>
      </c>
      <c r="O53" s="2698">
        <f t="shared" si="0"/>
        <v>5.0000000000000001E-4</v>
      </c>
    </row>
    <row r="54" spans="1:35" ht="12" customHeight="1">
      <c r="A54" s="2505" t="s">
        <v>1803</v>
      </c>
      <c r="B54" s="3394" t="s">
        <v>2792</v>
      </c>
      <c r="C54" s="3395"/>
      <c r="D54" s="1197">
        <f ca="1">C68</f>
        <v>0</v>
      </c>
      <c r="E54" s="333" t="s">
        <v>1804</v>
      </c>
      <c r="F54" s="2726">
        <f>'数据-取费表'!B41</f>
        <v>5.5000000000000007E-2</v>
      </c>
      <c r="G54" s="2727"/>
      <c r="H54" s="2728"/>
      <c r="I54" s="1940"/>
      <c r="J54" s="2695">
        <v>3</v>
      </c>
      <c r="K54" s="3393" t="s">
        <v>1805</v>
      </c>
      <c r="L54" s="3393"/>
      <c r="M54" s="2697">
        <f t="shared" ca="1" si="0"/>
        <v>0</v>
      </c>
      <c r="N54" s="2695" t="str">
        <f t="shared" si="0"/>
        <v>增值额×税（费）率</v>
      </c>
      <c r="O54" s="2699" t="str">
        <f t="shared" si="0"/>
        <v>——</v>
      </c>
    </row>
    <row r="55" spans="1:35" ht="24" customHeight="1">
      <c r="A55" s="3409" t="s">
        <v>1806</v>
      </c>
      <c r="B55" s="3398"/>
      <c r="C55" s="3398"/>
      <c r="D55" s="2494">
        <f ca="1">IF(H55="个人住宅",0,ROUND(D45*I55,0))</f>
        <v>4</v>
      </c>
      <c r="E55" s="2504" t="s">
        <v>1807</v>
      </c>
      <c r="F55" s="2726">
        <f>IF(H55="正常",I55,"免征")</f>
        <v>5.0000000000000001E-4</v>
      </c>
      <c r="G55" s="2727"/>
      <c r="H55" s="2722" t="s">
        <v>3198</v>
      </c>
      <c r="I55" s="170">
        <f>'数据-取费表'!B49</f>
        <v>5.0000000000000001E-4</v>
      </c>
      <c r="J55" s="2695" t="str">
        <f>IF(H59="非个人房产","",4)</f>
        <v/>
      </c>
      <c r="K55" s="3393" t="str">
        <f>IF(H59="非个人房产","——","个人所得税")</f>
        <v>——</v>
      </c>
      <c r="L55" s="3393"/>
      <c r="M55" s="2700" t="str">
        <f>D59</f>
        <v>——</v>
      </c>
      <c r="N55" s="2175" t="str">
        <f>E59</f>
        <v>——</v>
      </c>
      <c r="O55" s="2701" t="str">
        <f>F59</f>
        <v>——</v>
      </c>
    </row>
    <row r="56" spans="1:35" ht="24.75">
      <c r="A56" s="3409" t="s">
        <v>1808</v>
      </c>
      <c r="B56" s="3398"/>
      <c r="C56" s="3398"/>
      <c r="D56" s="2494">
        <f ca="1">IF(H56="个人住宅",D57,D58)</f>
        <v>0</v>
      </c>
      <c r="E56" s="2504" t="s">
        <v>1809</v>
      </c>
      <c r="F56" s="2726" t="str">
        <f>IF(H56="正常",F58,"免征")</f>
        <v>——</v>
      </c>
      <c r="G56" s="2729" t="s">
        <v>1810</v>
      </c>
      <c r="H56" s="2730" t="s">
        <v>3198</v>
      </c>
      <c r="I56" s="1941"/>
      <c r="J56" s="2695" t="str">
        <f>IF(项目基本情况!K6="上海银行",IF(J55="",4,J55+1),"")</f>
        <v/>
      </c>
      <c r="K56" s="3403" t="str">
        <f>IF(项目基本情况!K6="上海银行","其他处置费用","")</f>
        <v/>
      </c>
      <c r="L56" s="3410"/>
      <c r="M56" s="2697" t="str">
        <f>IF(项目基本情况!K6="上海银行",M69,"")</f>
        <v/>
      </c>
      <c r="N56" s="3403" t="str">
        <f>IF(项目基本情况!K6="上海银行","包含处置中涉及的律师、诉讼、拍卖、评估等费用","")</f>
        <v/>
      </c>
      <c r="O56" s="3404"/>
    </row>
    <row r="57" spans="1:35" ht="12.75">
      <c r="A57" s="2505" t="s">
        <v>1786</v>
      </c>
      <c r="B57" s="3394" t="s">
        <v>1811</v>
      </c>
      <c r="C57" s="3395"/>
      <c r="D57" s="1723">
        <v>0</v>
      </c>
      <c r="E57" s="330" t="s">
        <v>1788</v>
      </c>
      <c r="F57" s="308"/>
      <c r="G57" s="2727"/>
      <c r="H57" s="2731"/>
      <c r="I57" s="1941"/>
      <c r="J57" s="3393">
        <f>IF(AND(J55="",J56=""),4,IF(项目基本情况!K6="上海银行",结果表!J56+1,结果表!J55+1))</f>
        <v>4</v>
      </c>
      <c r="K57" s="3393" t="s">
        <v>1812</v>
      </c>
      <c r="L57" s="2702" t="s">
        <v>1813</v>
      </c>
      <c r="M57" s="2703"/>
      <c r="N57" s="2704">
        <f ca="1">SUMIF(M52:M56,"&lt;9e307")</f>
        <v>4</v>
      </c>
      <c r="O57" s="2705"/>
      <c r="P57" s="2865">
        <f ca="1">N57/M49</f>
        <v>5.1726367515841204E-4</v>
      </c>
    </row>
    <row r="58" spans="1:35" ht="24.75">
      <c r="A58" s="2505" t="s">
        <v>1797</v>
      </c>
      <c r="B58" s="3394" t="s">
        <v>1814</v>
      </c>
      <c r="C58" s="3392"/>
      <c r="D58" s="2494">
        <f ca="1">IF(H58="转让取得",C81,C97)</f>
        <v>0</v>
      </c>
      <c r="E58" s="2504" t="s">
        <v>1809</v>
      </c>
      <c r="F58" s="308" t="s">
        <v>34</v>
      </c>
      <c r="G58" s="2727"/>
      <c r="H58" s="2730" t="s">
        <v>3206</v>
      </c>
      <c r="I58" s="1941"/>
      <c r="J58" s="3393"/>
      <c r="K58" s="3393"/>
      <c r="L58" s="2702" t="s">
        <v>1815</v>
      </c>
      <c r="M58" s="2706"/>
      <c r="N58" s="2707" t="str">
        <f ca="1">NUMBERSTRING(INT(N57*10000),2)&amp;"元整"</f>
        <v>肆万元整</v>
      </c>
      <c r="O58" s="2708"/>
    </row>
    <row r="59" spans="1:35" ht="24.75" thickBot="1">
      <c r="A59" s="3405" t="s">
        <v>1816</v>
      </c>
      <c r="B59" s="3406"/>
      <c r="C59" s="3406"/>
      <c r="D59" s="2732" t="str">
        <f>IF(H59="非个人房产","——",IF(H59="个人住宅（满五唯一有凭证）",0,IF(H59="个人其他（无凭证）",ROUND(D45*F59,0),ROUND(C67*F59,0))))</f>
        <v>——</v>
      </c>
      <c r="E59" s="2733" t="str">
        <f>IF(H59="非个人房产","——",IF(H59="个人其他（无凭证）","销售额×税（费）率",IF(H59="个人住宅（满五唯一有凭证）","免征","差额计税")))</f>
        <v>——</v>
      </c>
      <c r="F59" s="2734" t="str">
        <f>IF(OR(H59="非个人房产",H59="个人住宅（满五唯一有凭证）"),"——",IF(H59="个人其他（有凭证）",20%,1%))</f>
        <v>——</v>
      </c>
      <c r="G59" s="2735" t="s">
        <v>1810</v>
      </c>
      <c r="H59" s="2479" t="s">
        <v>3200</v>
      </c>
      <c r="I59" s="2478" t="s">
        <v>2637</v>
      </c>
      <c r="J59" s="3407">
        <f>J57+1</f>
        <v>5</v>
      </c>
      <c r="K59" s="3393" t="s">
        <v>1817</v>
      </c>
      <c r="L59" s="2695" t="s">
        <v>1813</v>
      </c>
      <c r="M59" s="2709"/>
      <c r="N59" s="2710">
        <f ca="1">M49-N57</f>
        <v>7729</v>
      </c>
      <c r="O59" s="2711"/>
    </row>
    <row r="60" spans="1:35" ht="12" customHeight="1">
      <c r="A60" s="1942"/>
      <c r="B60" s="1880"/>
      <c r="C60" s="1880"/>
      <c r="D60" s="1880"/>
      <c r="E60" s="1711"/>
      <c r="F60" s="1941"/>
      <c r="G60" s="1941"/>
      <c r="H60" s="1943"/>
      <c r="I60" s="134"/>
      <c r="J60" s="3408"/>
      <c r="K60" s="3393"/>
      <c r="L60" s="2702" t="s">
        <v>1815</v>
      </c>
      <c r="M60" s="2706"/>
      <c r="N60" s="2707" t="str">
        <f ca="1">NUMBERSTRING(INT(N59*10000),2)&amp;"元整"</f>
        <v>柒仟柒佰贰拾玖万元整</v>
      </c>
      <c r="O60" s="2708"/>
    </row>
    <row r="61" spans="1:35" ht="13.5" thickBot="1">
      <c r="A61" s="3421" t="s">
        <v>1818</v>
      </c>
      <c r="B61" s="3421"/>
      <c r="C61" s="3421"/>
      <c r="D61" s="3421"/>
      <c r="E61" s="3421"/>
      <c r="F61" s="1941"/>
      <c r="G61" s="1941"/>
      <c r="H61" s="1943"/>
      <c r="I61" s="134"/>
      <c r="J61" s="2695">
        <f>J59+1</f>
        <v>6</v>
      </c>
      <c r="K61" s="3393" t="s">
        <v>1819</v>
      </c>
      <c r="L61" s="3393"/>
      <c r="M61" s="2712"/>
      <c r="N61" s="2713">
        <f ca="1">ROUND(N59*10000/'数据-汇总表'!E3,0)</f>
        <v>20148</v>
      </c>
      <c r="O61" s="2714"/>
    </row>
    <row r="62" spans="1:35" ht="12.75">
      <c r="A62" s="3417" t="s">
        <v>1820</v>
      </c>
      <c r="B62" s="3418"/>
      <c r="C62" s="2156"/>
      <c r="D62" s="2156" t="s">
        <v>1821</v>
      </c>
      <c r="E62" s="171" t="s">
        <v>1822</v>
      </c>
      <c r="F62" s="1941"/>
      <c r="G62" s="1941"/>
      <c r="H62" s="1943"/>
      <c r="I62" s="134"/>
    </row>
    <row r="63" spans="1:35" ht="12.75">
      <c r="A63" s="178" t="s">
        <v>594</v>
      </c>
      <c r="B63" s="172" t="s">
        <v>1823</v>
      </c>
      <c r="C63" s="2736">
        <f ca="1">ROUND((C64+C65)/(1+'数据-取费表'!C42),0)</f>
        <v>7365</v>
      </c>
      <c r="D63" s="172"/>
      <c r="E63" s="173"/>
      <c r="F63" s="1941"/>
      <c r="G63" s="1941"/>
      <c r="H63" s="1943"/>
      <c r="I63" s="134"/>
      <c r="J63" s="3422" t="s">
        <v>1824</v>
      </c>
      <c r="K63" s="1450" t="s">
        <v>1825</v>
      </c>
      <c r="L63" s="1450">
        <f ca="1">IF(M49&gt;10000,M49*0.5%,IF(AND(M49&gt;1000,M49&lt;=10000),M49*1%,IF(AND(M49&gt;100,M49&lt;=1000),M49*3%,IF(AND(M49&gt;10,M49&lt;=100),M49*5%,M49*8%))))</f>
        <v>77.33</v>
      </c>
      <c r="M63" s="308">
        <f ca="1">ROUND(L63,1)</f>
        <v>77.3</v>
      </c>
      <c r="N63" s="2715"/>
      <c r="Z63" s="1885"/>
      <c r="AI63" s="1886"/>
    </row>
    <row r="64" spans="1:35" ht="14.25" customHeight="1">
      <c r="A64" s="174" t="s">
        <v>589</v>
      </c>
      <c r="B64" s="175" t="s">
        <v>1826</v>
      </c>
      <c r="C64" s="2737">
        <f ca="1">D45</f>
        <v>7733</v>
      </c>
      <c r="D64" s="175" t="s">
        <v>32</v>
      </c>
      <c r="E64" s="177"/>
      <c r="F64" s="1941"/>
      <c r="G64" s="1941"/>
      <c r="H64" s="1943"/>
      <c r="I64" s="134"/>
      <c r="J64" s="3422"/>
      <c r="K64" s="1450" t="s">
        <v>1827</v>
      </c>
      <c r="L64" s="1450">
        <f ca="1">IF(M49&gt;2000,M49*0.5%,IF(AND(M49&gt;1000,M49&lt;=2000),M49*0.6%,IF(AND(M49&gt;500,M49&lt;=1000),M49*0.7%,IF(AND(M49&gt;200,M49&lt;=500),M49*0.8%,IF(AND(M49&gt;100,M49&lt;=200),M49*0.9%,IF(AND(M49&gt;50,M49&lt;=100),M49*1%,IF(AND(M49&gt;20,M49&lt;=50),M49*1.5%,IF(AND(M49&gt;10,M49&lt;=20),M49*2%,IF(AND(M49&gt;1,M49&lt;=10),M49*2.5%)))))))))</f>
        <v>38.664999999999999</v>
      </c>
      <c r="M64" s="308">
        <f t="shared" ref="M64:M65" ca="1" si="1">ROUND(L64,1)</f>
        <v>38.700000000000003</v>
      </c>
      <c r="N64" s="2716" t="s">
        <v>1828</v>
      </c>
      <c r="Z64" s="1885"/>
      <c r="AI64" s="1886"/>
    </row>
    <row r="65" spans="1:35" ht="14.25" customHeight="1">
      <c r="A65" s="174" t="s">
        <v>590</v>
      </c>
      <c r="B65" s="175" t="s">
        <v>1829</v>
      </c>
      <c r="C65" s="2738"/>
      <c r="D65" s="175"/>
      <c r="E65" s="177"/>
      <c r="F65" s="1941"/>
      <c r="G65" s="1941"/>
      <c r="H65" s="1943"/>
      <c r="I65" s="134"/>
      <c r="J65" s="3422"/>
      <c r="K65" s="1450" t="s">
        <v>1830</v>
      </c>
      <c r="L65" s="1450">
        <f ca="1">IF(M49&gt;1000,M49*0.1%,IF(AND(M49&gt;500,M49&lt;=1000),M49*0.5%,IF(AND(M49&gt;50,M49&lt;=500),M49*1%,IF(AND(M49&gt;1,M49&lt;=50),M49*1.5%))))</f>
        <v>7.7330000000000005</v>
      </c>
      <c r="M65" s="308">
        <f t="shared" ca="1" si="1"/>
        <v>7.7</v>
      </c>
      <c r="N65" s="2716" t="s">
        <v>1828</v>
      </c>
      <c r="Z65" s="1885"/>
      <c r="AI65" s="1886"/>
    </row>
    <row r="66" spans="1:35" ht="14.25" customHeight="1">
      <c r="A66" s="178" t="s">
        <v>591</v>
      </c>
      <c r="B66" s="179" t="s">
        <v>1831</v>
      </c>
      <c r="C66" s="2739">
        <f>466521120/10000</f>
        <v>46652.112000000001</v>
      </c>
      <c r="D66" s="179" t="s">
        <v>32</v>
      </c>
      <c r="E66" s="1457" t="s">
        <v>1096</v>
      </c>
      <c r="F66" s="1941"/>
      <c r="G66" s="1941"/>
      <c r="H66" s="1943"/>
      <c r="I66" s="134"/>
      <c r="J66" s="3422"/>
      <c r="K66" s="1450" t="s">
        <v>1832</v>
      </c>
      <c r="L66" s="1450">
        <f ca="1">M49*0.5%</f>
        <v>38.664999999999999</v>
      </c>
      <c r="M66" s="308">
        <f ca="1">IF(L66&gt;0.5,0.5,ROUND(L66,0))</f>
        <v>0.5</v>
      </c>
      <c r="N66" s="2716" t="s">
        <v>1833</v>
      </c>
      <c r="Z66" s="1885"/>
      <c r="AI66" s="1886"/>
    </row>
    <row r="67" spans="1:35" ht="14.25" customHeight="1">
      <c r="A67" s="178" t="s">
        <v>592</v>
      </c>
      <c r="B67" s="179" t="s">
        <v>1834</v>
      </c>
      <c r="C67" s="2740">
        <f ca="1">C63-C66</f>
        <v>-39287.112000000001</v>
      </c>
      <c r="D67" s="175" t="s">
        <v>32</v>
      </c>
      <c r="E67" s="177"/>
      <c r="F67" s="1941"/>
      <c r="G67" s="1941"/>
      <c r="H67" s="1943"/>
      <c r="I67" s="134"/>
      <c r="J67" s="3422"/>
      <c r="K67" s="1450" t="s">
        <v>1835</v>
      </c>
      <c r="L67" s="1450">
        <f ca="1">IF(M49&gt;=10000,(8.25+(M49-10000)*0.01%),IF(AND(M49&gt;=8000,M49&lt;10000),(7.85+(M49-8000)*0.02%),IF(AND(M49&gt;=5000,M49&lt;8000),(6.65+(M49-5000)*0.04%),IF(AND(M49&gt;=2000,M49&lt;5000),(4.25+(PM49-2000)*0.08%),IF(AND(M49&gt;=1000,M49&lt;2000),(2.75+(M49-1000)*0.15%),IF(AND(M49&gt;=100,M49&lt;1000),(0.5+(M49-100)*0.25%),IF(AND(M49&gt;0,M49&lt;100),M49*0.5%)))))))</f>
        <v>7.7431999999999999</v>
      </c>
      <c r="M67" s="308">
        <f ca="1">ROUND(L67*0.9,1)</f>
        <v>7</v>
      </c>
      <c r="N67" s="2715"/>
      <c r="Z67" s="1885"/>
      <c r="AI67" s="1886"/>
    </row>
    <row r="68" spans="1:35" ht="14.25" customHeight="1" thickBot="1">
      <c r="A68" s="181" t="s">
        <v>593</v>
      </c>
      <c r="B68" s="182" t="s">
        <v>1836</v>
      </c>
      <c r="C68" s="2741">
        <f ca="1">IF(C67&lt;=0,0,ROUND(C67*D68,0))</f>
        <v>0</v>
      </c>
      <c r="D68" s="2742">
        <f>'数据-取费表'!B41</f>
        <v>5.5000000000000007E-2</v>
      </c>
      <c r="E68" s="184"/>
      <c r="F68" s="1941"/>
      <c r="G68" s="1941"/>
      <c r="H68" s="1943"/>
      <c r="I68" s="134"/>
      <c r="J68" s="3422"/>
      <c r="K68" s="1450" t="s">
        <v>1837</v>
      </c>
      <c r="L68" s="1450">
        <f ca="1">IF(M49&gt;10000,M49*0.5%,IF(AND(M49&gt;5000,M49&lt;=10000),M49*1%,IF(AND(M49&gt;1000,M49&lt;=5000),M49*2%,IF(AND(M49&gt;200,M49&lt;=1000),M49*3%,M49*5%))))</f>
        <v>77.33</v>
      </c>
      <c r="M68" s="308">
        <f ca="1">ROUND(L68,1)</f>
        <v>77.3</v>
      </c>
      <c r="N68" s="2715"/>
      <c r="Z68" s="1885"/>
      <c r="AI68" s="1886"/>
    </row>
    <row r="69" spans="1:35" s="1905" customFormat="1" ht="16.5" customHeight="1">
      <c r="A69" s="1944"/>
      <c r="B69" s="1945"/>
      <c r="C69" s="1946"/>
      <c r="D69" s="1947"/>
      <c r="E69" s="1948"/>
      <c r="F69" s="1711"/>
      <c r="G69" s="1711"/>
      <c r="H69" s="1710"/>
      <c r="I69" s="1880"/>
      <c r="J69" s="3422"/>
      <c r="K69" s="1450" t="s">
        <v>1838</v>
      </c>
      <c r="L69" s="1450"/>
      <c r="M69" s="308">
        <f ca="1">ROUND(SUM(M63:M68),0)</f>
        <v>209</v>
      </c>
      <c r="N69" s="2717">
        <f ca="1">M69/M49</f>
        <v>2.7027027027027029E-2</v>
      </c>
      <c r="O69" s="734"/>
      <c r="P69" s="734"/>
      <c r="Q69" s="734"/>
      <c r="R69" s="734"/>
      <c r="S69" s="734"/>
      <c r="T69" s="734"/>
      <c r="U69" s="734"/>
      <c r="V69" s="734"/>
      <c r="W69" s="734"/>
      <c r="X69" s="734"/>
      <c r="Y69" s="734"/>
      <c r="Z69" s="1885"/>
      <c r="AA69" s="1885"/>
      <c r="AB69" s="1885"/>
      <c r="AC69" s="1885"/>
      <c r="AD69" s="1885"/>
      <c r="AE69" s="1885"/>
      <c r="AF69" s="1885"/>
      <c r="AG69" s="1885"/>
      <c r="AH69" s="1885"/>
    </row>
    <row r="70" spans="1:35" s="1950" customFormat="1" ht="15" thickBot="1">
      <c r="A70" s="3415" t="s">
        <v>1839</v>
      </c>
      <c r="B70" s="3416"/>
      <c r="C70" s="3416"/>
      <c r="D70" s="3416"/>
      <c r="E70" s="3416"/>
      <c r="F70" s="3416"/>
      <c r="G70" s="3416"/>
      <c r="H70" s="3416"/>
      <c r="I70" s="1949"/>
      <c r="J70" s="2866"/>
      <c r="K70" s="2866"/>
      <c r="L70" s="2866"/>
      <c r="M70" s="2866"/>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417" t="s">
        <v>1820</v>
      </c>
      <c r="B71" s="3418"/>
      <c r="C71" s="2156"/>
      <c r="D71" s="2156" t="s">
        <v>1821</v>
      </c>
      <c r="E71" s="185" t="s">
        <v>1822</v>
      </c>
      <c r="F71" s="186"/>
      <c r="G71" s="186"/>
      <c r="H71" s="187"/>
      <c r="I71" s="1953"/>
      <c r="J71" s="2866"/>
      <c r="K71" s="2866"/>
      <c r="L71" s="2866"/>
      <c r="M71" s="2866"/>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40">
        <f ca="1">ROUND(D45/(1+'数据-取费表'!C42),0)</f>
        <v>7365</v>
      </c>
      <c r="D72" s="175" t="s">
        <v>32</v>
      </c>
      <c r="E72" s="2501"/>
      <c r="F72" s="2500"/>
      <c r="G72" s="2500"/>
      <c r="H72" s="188"/>
      <c r="I72" s="1953"/>
      <c r="J72" s="2866"/>
      <c r="K72" s="2866"/>
      <c r="L72" s="2866"/>
      <c r="M72" s="2866"/>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40">
        <f ca="1">C74+C78</f>
        <v>48112</v>
      </c>
      <c r="D73" s="175" t="s">
        <v>32</v>
      </c>
      <c r="E73" s="2501"/>
      <c r="F73" s="2500"/>
      <c r="G73" s="2500"/>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48075</v>
      </c>
      <c r="D74" s="175" t="s">
        <v>32</v>
      </c>
      <c r="E74" s="2501"/>
      <c r="F74" s="2500"/>
      <c r="G74" s="2500"/>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3">
        <f>C66</f>
        <v>46652.112000000001</v>
      </c>
      <c r="D75" s="175" t="s">
        <v>32</v>
      </c>
      <c r="E75" s="190" t="s">
        <v>1844</v>
      </c>
      <c r="F75" s="2744" t="s">
        <v>3207</v>
      </c>
      <c r="G75" s="190" t="s">
        <v>1845</v>
      </c>
      <c r="H75" s="2745">
        <v>10</v>
      </c>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6">
        <v>0.05</v>
      </c>
      <c r="E76" s="3394" t="s">
        <v>1847</v>
      </c>
      <c r="F76" s="3392"/>
      <c r="G76" s="3392"/>
      <c r="H76" s="3411"/>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1423</v>
      </c>
      <c r="D77" s="2747">
        <f>'数据-取费表'!B48+'数据-取费表'!B49</f>
        <v>3.0499999999999999E-2</v>
      </c>
      <c r="E77" s="2494" t="s">
        <v>1849</v>
      </c>
      <c r="F77" s="192"/>
      <c r="G77" s="1955" t="s">
        <v>3208</v>
      </c>
      <c r="H77" s="2502"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8">
        <f ca="1">ROUND(D45*D78/(1+'数据-取费表'!C42),0)</f>
        <v>37</v>
      </c>
      <c r="D78" s="2749">
        <f>'数据-取费表'!B43</f>
        <v>5.000000000000001E-3</v>
      </c>
      <c r="E78" s="3412" t="s">
        <v>1851</v>
      </c>
      <c r="F78" s="3413"/>
      <c r="G78" s="3413"/>
      <c r="H78" s="3414"/>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1852</v>
      </c>
      <c r="C79" s="2740">
        <f ca="1">C72-C73</f>
        <v>-40747</v>
      </c>
      <c r="D79" s="175" t="s">
        <v>32</v>
      </c>
      <c r="E79" s="2501"/>
      <c r="F79" s="2500"/>
      <c r="G79" s="2500"/>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50">
        <f ca="1">IF(C79&lt;=0,0,C79/C73)</f>
        <v>0</v>
      </c>
      <c r="D80" s="175" t="s">
        <v>32</v>
      </c>
      <c r="E80" s="2494" t="str">
        <f ca="1">IF(C80&gt;=200%,"增值额超过扣除项目金额200%",IF(C80&gt;=100%,"增值额超过扣除项目金额100%，未超过200%",IF(C80&gt;=50%,"增值额超过扣除项目金额50%，未超过100%",IF(C80&lt;50%,"增值额未超过扣除项目金额50%"))))</f>
        <v>增值额未超过扣除项目金额50%</v>
      </c>
      <c r="F80" s="2500"/>
      <c r="G80" s="2500"/>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1">
        <f ca="1">ROUND(IF(C79&lt;=0,0,IF(C80&gt;=200%,C79*60%-C73*35%,IF(C80&gt;=100%,C79*50%-C73*15%,IF(C80&gt;=50%,C79*40%-C73*5%,IF(C80&lt;50%,C79*30%,0))))),0)</f>
        <v>0</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9"/>
      <c r="B82" s="690"/>
      <c r="C82" s="7"/>
      <c r="D82" s="7"/>
      <c r="E82" s="690"/>
      <c r="F82" s="690"/>
      <c r="G82" s="690"/>
      <c r="H82" s="691"/>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15" t="s">
        <v>1855</v>
      </c>
      <c r="B83" s="3416"/>
      <c r="C83" s="3416"/>
      <c r="D83" s="3416"/>
      <c r="E83" s="3416"/>
      <c r="F83" s="3416"/>
      <c r="G83" s="3416"/>
      <c r="H83" s="3416"/>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417" t="s">
        <v>1820</v>
      </c>
      <c r="B84" s="3418"/>
      <c r="C84" s="2156"/>
      <c r="D84" s="2156"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40">
        <f ca="1">ROUND(D45/(1+'数据-取费表'!C42),0)</f>
        <v>7365</v>
      </c>
      <c r="D85" s="175" t="s">
        <v>32</v>
      </c>
      <c r="E85" s="2501"/>
      <c r="F85" s="2500"/>
      <c r="G85" s="2500"/>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40">
        <f ca="1">IF(H88="仅含出让金",C87+C90+C91+C92+C93+C94,C87+C91+C92+C93+C94)</f>
        <v>37</v>
      </c>
      <c r="D86" s="2753"/>
      <c r="E86" s="2501"/>
      <c r="F86" s="2500"/>
      <c r="G86" s="2500"/>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8">
        <f>C88+C89</f>
        <v>0</v>
      </c>
      <c r="D87" s="2749"/>
      <c r="E87" s="2496"/>
      <c r="F87" s="2497"/>
      <c r="G87" s="2497"/>
      <c r="H87" s="2498"/>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4"/>
      <c r="D88" s="2749"/>
      <c r="E88" s="199" t="s">
        <v>1858</v>
      </c>
      <c r="F88" s="2497"/>
      <c r="G88" s="200" t="s">
        <v>1859</v>
      </c>
      <c r="H88" s="1957"/>
      <c r="I88" s="1954"/>
      <c r="J88" s="2693"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8">
        <f>ROUND(C88*D89,0)</f>
        <v>0</v>
      </c>
      <c r="D89" s="2749">
        <f>'数据-取费表'!B48+'数据-取费表'!B49</f>
        <v>3.0499999999999999E-2</v>
      </c>
      <c r="E89" s="199" t="s">
        <v>1860</v>
      </c>
      <c r="F89" s="2497"/>
      <c r="G89" s="2497"/>
      <c r="H89" s="2498"/>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4"/>
      <c r="D90" s="2749"/>
      <c r="E90" s="199" t="str">
        <f>IF(H88="-","土地取得成本中已包含该笔费用"," ")</f>
        <v xml:space="preserve"> </v>
      </c>
      <c r="F90" s="2497"/>
      <c r="G90" s="3419" t="s">
        <v>2629</v>
      </c>
      <c r="H90" s="3420"/>
      <c r="I90" s="1954"/>
      <c r="J90" s="2693"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8">
        <f>IF(H91="——",成本法!C33,I91)</f>
        <v>0</v>
      </c>
      <c r="D91" s="2749"/>
      <c r="E91" s="3412" t="s">
        <v>1864</v>
      </c>
      <c r="F91" s="3413"/>
      <c r="G91" s="3413"/>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8">
        <f>ROUND((C87+C90+C91)*D92,0)</f>
        <v>0</v>
      </c>
      <c r="D92" s="2755"/>
      <c r="E92" s="3412" t="s">
        <v>1867</v>
      </c>
      <c r="F92" s="3413"/>
      <c r="G92" s="3413"/>
      <c r="H92" s="3414"/>
      <c r="I92" s="1954"/>
      <c r="J92" s="2694"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8">
        <f ca="1">ROUND(D45*D93/(1+'数据-取费表'!C42),0)</f>
        <v>37</v>
      </c>
      <c r="D93" s="2749">
        <f>'数据-取费表'!B43</f>
        <v>5.000000000000001E-3</v>
      </c>
      <c r="E93" s="3412" t="s">
        <v>1851</v>
      </c>
      <c r="F93" s="3413"/>
      <c r="G93" s="3413"/>
      <c r="H93" s="3414"/>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4">
        <f>ROUND((C87+C90+C91)*D94,0)</f>
        <v>0</v>
      </c>
      <c r="D94" s="2749">
        <v>0.2</v>
      </c>
      <c r="E94" s="3423" t="s">
        <v>1871</v>
      </c>
      <c r="F94" s="3424"/>
      <c r="G94" s="3424"/>
      <c r="H94" s="3425"/>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1852</v>
      </c>
      <c r="C95" s="2740">
        <f ca="1">ROUND(C85-C86,0)</f>
        <v>7328</v>
      </c>
      <c r="D95" s="175" t="s">
        <v>32</v>
      </c>
      <c r="E95" s="2501"/>
      <c r="F95" s="2500"/>
      <c r="G95" s="2500"/>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50">
        <f ca="1">IF(C95&lt;=0,0,C95/C86)</f>
        <v>198.05405405405406</v>
      </c>
      <c r="D96" s="175" t="s">
        <v>32</v>
      </c>
      <c r="E96" s="2494" t="str">
        <f ca="1">IF(C96&gt;=200%,"增值额超过扣除项目金额200%",IF(C96&gt;=100%,"增值额超过扣除项目金额100%，未超过200%",IF(C96&gt;=50%,"增值额超过扣除项目金额50%，未超过100%",IF(C96&lt;50%,"增值额未超过扣除项目金额50%"))))</f>
        <v>增值额超过扣除项目金额200%</v>
      </c>
      <c r="F96" s="2500"/>
      <c r="G96" s="2500"/>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1">
        <f ca="1">ROUND(IF(C95&lt;=0,0,IF(C96&gt;=200%,C95*60%-C86*35%,IF(C96&gt;=100%,C95*50%-C86*15%,IF(C96&gt;=50%,C95*40%-C86*5%,IF(C96&lt;50%,C95*30%,0))))),0)</f>
        <v>4384</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1"/>
      <c r="F98" s="1711"/>
      <c r="G98" s="1711"/>
      <c r="H98" s="1710"/>
      <c r="I98" s="134"/>
    </row>
    <row r="99" spans="1:35" ht="21.75" customHeight="1" thickBot="1">
      <c r="A99" s="1933" t="s">
        <v>1872</v>
      </c>
      <c r="B99" s="1880"/>
      <c r="C99" s="1880"/>
      <c r="D99" s="1880"/>
      <c r="E99" s="1711"/>
      <c r="F99" s="1711"/>
      <c r="G99" s="1711"/>
      <c r="H99" s="1710"/>
      <c r="I99" s="134"/>
    </row>
    <row r="100" spans="1:35" ht="18.75" customHeight="1">
      <c r="A100" s="3356" t="s">
        <v>1873</v>
      </c>
      <c r="B100" s="3357"/>
      <c r="C100" s="3357"/>
      <c r="D100" s="3426"/>
      <c r="E100" s="3357" t="s">
        <v>1874</v>
      </c>
      <c r="F100" s="3357"/>
      <c r="G100" s="3357"/>
      <c r="H100" s="3426"/>
      <c r="I100" s="134"/>
    </row>
    <row r="101" spans="1:35" ht="18.75" customHeight="1">
      <c r="A101" s="3427" t="s">
        <v>1875</v>
      </c>
      <c r="B101" s="3428"/>
      <c r="C101" s="2757" t="str">
        <f>C4</f>
        <v>成本法</v>
      </c>
      <c r="D101" s="2758" t="str">
        <f>D4</f>
        <v>收益法</v>
      </c>
      <c r="E101" s="3429" t="s">
        <v>1876</v>
      </c>
      <c r="F101" s="3430"/>
      <c r="G101" s="1960" t="s">
        <v>1877</v>
      </c>
      <c r="H101" s="2767">
        <f ca="1">H118</f>
        <v>7733</v>
      </c>
      <c r="I101" s="134"/>
    </row>
    <row r="102" spans="1:35" ht="18.75" customHeight="1">
      <c r="A102" s="3431" t="s">
        <v>1878</v>
      </c>
      <c r="B102" s="2756" t="s">
        <v>1877</v>
      </c>
      <c r="C102" s="2757">
        <f ca="1">C19</f>
        <v>7660</v>
      </c>
      <c r="D102" s="2758">
        <f ca="1">D19</f>
        <v>7806</v>
      </c>
      <c r="E102" s="3429"/>
      <c r="F102" s="3430"/>
      <c r="G102" s="1960" t="s">
        <v>1879</v>
      </c>
      <c r="H102" s="2727">
        <f ca="1">I118</f>
        <v>20158</v>
      </c>
      <c r="I102" s="134"/>
    </row>
    <row r="103" spans="1:35" ht="42.75" customHeight="1">
      <c r="A103" s="3431"/>
      <c r="B103" s="2756" t="s">
        <v>1879</v>
      </c>
      <c r="C103" s="2759">
        <f ca="1">C20</f>
        <v>19968</v>
      </c>
      <c r="D103" s="2760">
        <f ca="1">D20</f>
        <v>20349</v>
      </c>
      <c r="E103" s="3432" t="s">
        <v>1880</v>
      </c>
      <c r="F103" s="3433"/>
      <c r="G103" s="1961" t="s">
        <v>1881</v>
      </c>
      <c r="H103" s="2767">
        <f>IF(D36="正常操作",H104+H105+H106,H105+H106)</f>
        <v>0</v>
      </c>
      <c r="I103" s="134"/>
    </row>
    <row r="104" spans="1:35" ht="18.75" customHeight="1">
      <c r="A104" s="3431" t="s">
        <v>1882</v>
      </c>
      <c r="B104" s="2761" t="s">
        <v>1877</v>
      </c>
      <c r="C104" s="2762">
        <f ca="1">H118</f>
        <v>7733</v>
      </c>
      <c r="D104" s="2763"/>
      <c r="E104" s="1807" t="s">
        <v>1883</v>
      </c>
      <c r="F104" s="1799"/>
      <c r="G104" s="1961" t="s">
        <v>1881</v>
      </c>
      <c r="H104" s="2768">
        <f>IF(D36="同一抵押权人同一抵押物续贷",C36&amp;"（续贷，未扣减，详见特别提示）",C36)</f>
        <v>0</v>
      </c>
      <c r="I104" s="134"/>
    </row>
    <row r="105" spans="1:35" ht="18.75" customHeight="1" thickBot="1">
      <c r="A105" s="3439"/>
      <c r="B105" s="2764" t="s">
        <v>1879</v>
      </c>
      <c r="C105" s="2765">
        <f ca="1">I118</f>
        <v>20158</v>
      </c>
      <c r="D105" s="2766"/>
      <c r="E105" s="1807" t="s">
        <v>1884</v>
      </c>
      <c r="F105" s="1799"/>
      <c r="G105" s="1961" t="s">
        <v>1881</v>
      </c>
      <c r="H105" s="2769">
        <f>C37</f>
        <v>0</v>
      </c>
      <c r="I105" s="134"/>
    </row>
    <row r="106" spans="1:35" ht="18.75" customHeight="1">
      <c r="A106" s="1880" t="s">
        <v>1885</v>
      </c>
      <c r="B106" s="1880"/>
      <c r="C106" s="1880"/>
      <c r="D106" s="1880"/>
      <c r="E106" s="1962" t="s">
        <v>1886</v>
      </c>
      <c r="F106" s="1799"/>
      <c r="G106" s="1961" t="s">
        <v>1881</v>
      </c>
      <c r="H106" s="2769">
        <f>C38</f>
        <v>0</v>
      </c>
      <c r="I106" s="134"/>
    </row>
    <row r="107" spans="1:35" ht="18.75" customHeight="1">
      <c r="A107" s="134"/>
      <c r="B107" s="134"/>
      <c r="C107" s="134"/>
      <c r="D107" s="134"/>
      <c r="E107" s="3440" t="str">
        <f>IF(项目基本情况!E8="已注销","——","3.房地产抵押价值")</f>
        <v>3.房地产抵押价值</v>
      </c>
      <c r="F107" s="3430"/>
      <c r="G107" s="1960" t="s">
        <v>1877</v>
      </c>
      <c r="H107" s="2767">
        <f ca="1">IF(E107="——","——",H101-H103)</f>
        <v>7733</v>
      </c>
      <c r="I107" s="134"/>
    </row>
    <row r="108" spans="1:35" ht="18.75" customHeight="1">
      <c r="A108" s="134"/>
      <c r="B108" s="134"/>
      <c r="C108" s="134"/>
      <c r="D108" s="134"/>
      <c r="E108" s="3440"/>
      <c r="F108" s="3430"/>
      <c r="G108" s="1960" t="s">
        <v>1879</v>
      </c>
      <c r="H108" s="2727">
        <f ca="1">ROUND(H107*10000/'数据-汇总表'!E3,0)</f>
        <v>20158</v>
      </c>
      <c r="I108" s="134"/>
    </row>
    <row r="109" spans="1:35" ht="18.75" customHeight="1">
      <c r="A109" s="134"/>
      <c r="B109" s="134"/>
      <c r="C109" s="134"/>
      <c r="D109" s="134"/>
      <c r="E109" s="3440" t="str">
        <f>IF(项目基本情况!E8="已注销及未注销","4.抵押担保权已注销时的房地产抵押价值",IF(项目基本情况!E8="已注销","3.抵押担保权已注销时的房地产抵押价值","——"))</f>
        <v>——</v>
      </c>
      <c r="F109" s="3430"/>
      <c r="G109" s="1960" t="s">
        <v>1877</v>
      </c>
      <c r="H109" s="2770" t="str">
        <f>IF(E109="——","——",H101-H105-H106)</f>
        <v>——</v>
      </c>
      <c r="I109" s="134"/>
    </row>
    <row r="110" spans="1:35" ht="18.75" customHeight="1">
      <c r="A110" s="134"/>
      <c r="B110" s="134"/>
      <c r="C110" s="134"/>
      <c r="D110" s="134"/>
      <c r="E110" s="3440"/>
      <c r="F110" s="3430"/>
      <c r="G110" s="1960" t="s">
        <v>1879</v>
      </c>
      <c r="H110" s="2727"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42"/>
      <c r="G111" s="1960" t="s">
        <v>1877</v>
      </c>
      <c r="H111" s="2767" t="str">
        <f>IF(E111="——","——",N59)</f>
        <v>——</v>
      </c>
      <c r="I111" s="134"/>
    </row>
    <row r="112" spans="1:35" ht="18.75" customHeight="1" thickBot="1">
      <c r="A112" s="134"/>
      <c r="B112" s="134"/>
      <c r="C112" s="134"/>
      <c r="D112" s="134"/>
      <c r="E112" s="3443"/>
      <c r="F112" s="3444"/>
      <c r="G112" s="1963" t="s">
        <v>1879</v>
      </c>
      <c r="H112" s="2771" t="str">
        <f>IF(E111="——","——",N61)</f>
        <v>——</v>
      </c>
      <c r="I112" s="134"/>
    </row>
    <row r="113" spans="1:27" ht="18.75" customHeight="1">
      <c r="A113" s="134"/>
      <c r="B113" s="134"/>
      <c r="C113" s="134"/>
      <c r="D113" s="134"/>
      <c r="E113" s="3445" t="s">
        <v>1885</v>
      </c>
      <c r="F113" s="3445"/>
      <c r="G113" s="3445"/>
      <c r="H113" s="3445"/>
      <c r="I113" s="134"/>
    </row>
    <row r="114" spans="1:27" ht="3.75" customHeight="1">
      <c r="A114" s="1880"/>
      <c r="B114" s="1880"/>
      <c r="C114" s="1880"/>
      <c r="D114" s="1880"/>
      <c r="E114" s="1942"/>
      <c r="F114" s="1942"/>
      <c r="G114" s="1942"/>
      <c r="H114" s="1942"/>
      <c r="I114" s="1880"/>
    </row>
    <row r="115" spans="1:27" ht="18.75" customHeight="1">
      <c r="A115" s="3446" t="s">
        <v>1887</v>
      </c>
      <c r="B115" s="3447"/>
      <c r="C115" s="3447"/>
      <c r="D115" s="3447"/>
      <c r="E115" s="3447"/>
      <c r="F115" s="3447"/>
      <c r="G115" s="3447"/>
      <c r="H115" s="3447"/>
      <c r="I115" s="3448"/>
    </row>
    <row r="116" spans="1:27" ht="27" customHeight="1">
      <c r="A116" s="3362" t="s">
        <v>1888</v>
      </c>
      <c r="B116" s="3434" t="s">
        <v>3217</v>
      </c>
      <c r="C116" s="3434" t="s">
        <v>3218</v>
      </c>
      <c r="D116" s="3436" t="s">
        <v>1891</v>
      </c>
      <c r="E116" s="3437"/>
      <c r="F116" s="3438" t="s">
        <v>1892</v>
      </c>
      <c r="G116" s="3438"/>
      <c r="H116" s="3362" t="s">
        <v>1893</v>
      </c>
      <c r="I116" s="3362"/>
    </row>
    <row r="117" spans="1:27" ht="18.75" customHeight="1">
      <c r="A117" s="3362"/>
      <c r="B117" s="3435"/>
      <c r="C117" s="3435"/>
      <c r="D117" s="2499" t="s">
        <v>1894</v>
      </c>
      <c r="E117" s="2499" t="s">
        <v>1895</v>
      </c>
      <c r="F117" s="2499" t="s">
        <v>1894</v>
      </c>
      <c r="G117" s="2499" t="s">
        <v>1896</v>
      </c>
      <c r="H117" s="2499" t="s">
        <v>1894</v>
      </c>
      <c r="I117" s="2499" t="s">
        <v>1896</v>
      </c>
    </row>
    <row r="118" spans="1:27" ht="24.75" customHeight="1">
      <c r="A118" s="2772" t="str">
        <f>项目基本情况!S2</f>
        <v>北京市房地产</v>
      </c>
      <c r="B118" s="2499">
        <f>M18</f>
        <v>3836.1200000000003</v>
      </c>
      <c r="C118" s="2499">
        <f>M19</f>
        <v>0</v>
      </c>
      <c r="D118" s="2499">
        <f ca="1">ROUND(IF(D32="总价",C34,E118*B118/10000),0)</f>
        <v>5266</v>
      </c>
      <c r="E118" s="2499">
        <f ca="1">ROUND(IF(C33="自定义",IF(D32="楼面单价",C34,D118*10000/B118),I118-G118),0)</f>
        <v>13727</v>
      </c>
      <c r="F118" s="2499">
        <f ca="1">ROUND(IF(D32="总价",C35,G118*B118/10000),0)</f>
        <v>2467</v>
      </c>
      <c r="G118" s="2499">
        <f ca="1">ROUND(IF(D32="楼面单价",C35,F118*10000/B118),0)</f>
        <v>6431</v>
      </c>
      <c r="H118" s="2499">
        <f ca="1">ROUND(IF(D32="总价",C32,I118*B118/10000),0)</f>
        <v>7733</v>
      </c>
      <c r="I118" s="2499">
        <f ca="1">ROUND(IF(D32="楼面单价",C32,H118*10000/B118),0)</f>
        <v>20158</v>
      </c>
    </row>
    <row r="119" spans="1:27" ht="18.75" customHeight="1">
      <c r="A119" s="3362" t="s">
        <v>1897</v>
      </c>
      <c r="B119" s="3362"/>
      <c r="C119" s="3362"/>
      <c r="D119" s="3452" t="str">
        <f ca="1">NUMBERSTRING(INT(D118*10000),2)&amp;"元整"</f>
        <v>伍仟贰佰陆拾陆万元整</v>
      </c>
      <c r="E119" s="3454"/>
      <c r="F119" s="3452" t="str">
        <f ca="1">NUMBERSTRING(INT(F118*10000),2)&amp;"元整"</f>
        <v>贰仟肆佰陆拾柒万元整</v>
      </c>
      <c r="G119" s="3454"/>
      <c r="H119" s="3452" t="str">
        <f ca="1">NUMBERSTRING(INT(H118*10000),2)&amp;"元整"</f>
        <v>柒仟柒佰叁拾叁万元整</v>
      </c>
      <c r="I119" s="3454"/>
    </row>
    <row r="120" spans="1:27" ht="18.75" customHeight="1">
      <c r="A120" s="3455" t="str">
        <f>IF(项目基本情况!B9="房地产市场价值","",MID(E103,3,LEN(E103)-2))</f>
        <v>估价师知悉的法定优先受偿款</v>
      </c>
      <c r="B120" s="3456"/>
      <c r="C120" s="3457"/>
      <c r="D120" s="3455">
        <f>H103</f>
        <v>0</v>
      </c>
      <c r="E120" s="3456"/>
      <c r="F120" s="3456"/>
      <c r="G120" s="3456"/>
      <c r="H120" s="3456"/>
      <c r="I120" s="3457"/>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49" t="s">
        <v>1897</v>
      </c>
      <c r="B121" s="3450"/>
      <c r="C121" s="3451"/>
      <c r="D121" s="3452" t="str">
        <f>IF(D120=0,"零元整",NUMBERSTRING(INT(D120*10000),2)&amp;"元整")</f>
        <v>零元整</v>
      </c>
      <c r="E121" s="3453"/>
      <c r="F121" s="3453"/>
      <c r="G121" s="3453"/>
      <c r="H121" s="3453"/>
      <c r="I121" s="3454"/>
      <c r="AA121" s="734"/>
    </row>
    <row r="122" spans="1:27" ht="18.75" customHeight="1">
      <c r="A122" s="3442" t="str">
        <f>IF(项目基本情况!B9="房地产市场价值","",MID(E107,3,LEN(E107)-2))</f>
        <v>房地产抵押价值</v>
      </c>
      <c r="B122" s="3442"/>
      <c r="C122" s="3442"/>
      <c r="D122" s="3455">
        <f ca="1">H107</f>
        <v>7733</v>
      </c>
      <c r="E122" s="3456"/>
      <c r="F122" s="3456"/>
      <c r="G122" s="3456"/>
      <c r="H122" s="3456"/>
      <c r="I122" s="3457"/>
      <c r="AA122" s="734"/>
    </row>
    <row r="123" spans="1:27" ht="18.75" customHeight="1">
      <c r="A123" s="3362" t="s">
        <v>1897</v>
      </c>
      <c r="B123" s="3362"/>
      <c r="C123" s="3362"/>
      <c r="D123" s="3452" t="str">
        <f ca="1">NUMBERSTRING(INT(D122*10000),2)&amp;"元整"</f>
        <v>柒仟柒佰叁拾叁万元整</v>
      </c>
      <c r="E123" s="3453"/>
      <c r="F123" s="3453"/>
      <c r="G123" s="3453"/>
      <c r="H123" s="3453"/>
      <c r="I123" s="3454"/>
      <c r="AA123" s="734"/>
    </row>
    <row r="124" spans="1:27" ht="18.75" customHeight="1">
      <c r="A124" s="3442" t="str">
        <f>IF(项目基本情况!B9="房地产市场价值","",MID(E109,3,LEN(E109)-2))</f>
        <v/>
      </c>
      <c r="B124" s="3442"/>
      <c r="C124" s="3442"/>
      <c r="D124" s="3455" t="str">
        <f>H109</f>
        <v>——</v>
      </c>
      <c r="E124" s="3456"/>
      <c r="F124" s="3456"/>
      <c r="G124" s="3456"/>
      <c r="H124" s="3456"/>
      <c r="I124" s="3457"/>
      <c r="AA124" s="734"/>
    </row>
    <row r="125" spans="1:27" ht="18.75" customHeight="1">
      <c r="A125" s="3362" t="s">
        <v>1897</v>
      </c>
      <c r="B125" s="3362"/>
      <c r="C125" s="3362"/>
      <c r="D125" s="3452" t="e">
        <f>NUMBERSTRING(INT(D124*10000),2)&amp;"元整"</f>
        <v>#VALUE!</v>
      </c>
      <c r="E125" s="3453"/>
      <c r="F125" s="3453"/>
      <c r="G125" s="3453"/>
      <c r="H125" s="3453"/>
      <c r="I125" s="3454"/>
      <c r="AA125" s="734"/>
    </row>
    <row r="126" spans="1:27" ht="18.75" customHeight="1">
      <c r="A126" s="3442" t="str">
        <f>IF(项目基本情况!B9="房地产市场价值","",MID(E111,3,LEN(E111)-2))</f>
        <v/>
      </c>
      <c r="B126" s="3442"/>
      <c r="C126" s="3442"/>
      <c r="D126" s="3455" t="str">
        <f>H111</f>
        <v>——</v>
      </c>
      <c r="E126" s="3456"/>
      <c r="F126" s="3456"/>
      <c r="G126" s="3456"/>
      <c r="H126" s="3456"/>
      <c r="I126" s="3457"/>
      <c r="AA126" s="734"/>
    </row>
    <row r="127" spans="1:27" ht="18.75" customHeight="1">
      <c r="A127" s="3362" t="s">
        <v>1897</v>
      </c>
      <c r="B127" s="3362"/>
      <c r="C127" s="3362"/>
      <c r="D127" s="3452" t="e">
        <f>NUMBERSTRING(INT(D126*10000),2)&amp;"元整"</f>
        <v>#VALUE!</v>
      </c>
      <c r="E127" s="3453"/>
      <c r="F127" s="3453"/>
      <c r="G127" s="3453"/>
      <c r="H127" s="3453"/>
      <c r="I127" s="3454"/>
      <c r="AA127" s="734"/>
    </row>
    <row r="128" spans="1:27" ht="21.75" customHeight="1">
      <c r="A128" s="3458" t="s">
        <v>1898</v>
      </c>
      <c r="B128" s="3458"/>
      <c r="C128" s="3458"/>
      <c r="D128" s="3458"/>
      <c r="E128" s="3458"/>
      <c r="F128" s="3458"/>
      <c r="G128" s="3458"/>
      <c r="H128" s="3458"/>
      <c r="I128" s="3458"/>
      <c r="AA128" s="734"/>
    </row>
    <row r="129" spans="1:35" ht="21.75" customHeight="1">
      <c r="A129" s="1964" t="s">
        <v>1899</v>
      </c>
      <c r="B129" s="1965"/>
      <c r="C129" s="1966" t="s">
        <v>1900</v>
      </c>
      <c r="D129" s="1967"/>
      <c r="E129" s="1967"/>
      <c r="F129" s="1967"/>
      <c r="G129" s="1967"/>
      <c r="H129" s="1968"/>
      <c r="I129" s="1969"/>
      <c r="AA129" s="734"/>
    </row>
    <row r="130" spans="1:35" ht="21.75" customHeight="1">
      <c r="A130" s="1970">
        <v>1</v>
      </c>
      <c r="B130" s="1971"/>
      <c r="C130" s="1971"/>
      <c r="D130" s="1972"/>
      <c r="E130" s="1972"/>
      <c r="F130" s="1972"/>
      <c r="G130" s="1972"/>
      <c r="H130" s="1973"/>
      <c r="I130" s="1974"/>
      <c r="AA130" s="734"/>
    </row>
    <row r="131" spans="1:35" ht="21.75" customHeight="1">
      <c r="A131" s="1970">
        <v>2</v>
      </c>
      <c r="B131" s="1971"/>
      <c r="C131" s="1971"/>
      <c r="D131" s="1972"/>
      <c r="E131" s="1972"/>
      <c r="F131" s="1972"/>
      <c r="G131" s="1972"/>
      <c r="H131" s="1973"/>
      <c r="I131" s="1974"/>
      <c r="AA131" s="734"/>
    </row>
    <row r="132" spans="1:35" ht="21.75" customHeight="1">
      <c r="A132" s="1970">
        <v>3</v>
      </c>
      <c r="B132" s="1971"/>
      <c r="C132" s="1971"/>
      <c r="D132" s="1972"/>
      <c r="E132" s="1972"/>
      <c r="F132" s="1972"/>
      <c r="G132" s="1972"/>
      <c r="H132" s="1973"/>
      <c r="I132" s="1974"/>
      <c r="AA132" s="734"/>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4"/>
    </row>
    <row r="135" spans="1:35" ht="21.75" customHeight="1">
      <c r="A135" s="734"/>
      <c r="B135" s="734"/>
      <c r="C135" s="734"/>
      <c r="D135" s="734"/>
      <c r="E135" s="734"/>
      <c r="F135" s="1980" t="s">
        <v>1901</v>
      </c>
      <c r="G135" s="1981"/>
      <c r="H135" s="1981"/>
      <c r="I135" s="1982" t="s">
        <v>1902</v>
      </c>
    </row>
    <row r="136" spans="1:35" ht="21.75" customHeight="1">
      <c r="A136" s="734"/>
      <c r="B136" s="1983"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1"/>
      <c r="C138" s="1981"/>
      <c r="D138" s="1981"/>
      <c r="E138" s="1981"/>
      <c r="F138" s="1981"/>
      <c r="G138" s="1981"/>
      <c r="H138" s="1981"/>
      <c r="I138" s="1982" t="s">
        <v>1904</v>
      </c>
    </row>
    <row r="139" spans="1:35" ht="21.75" customHeight="1">
      <c r="A139" s="734"/>
      <c r="B139" s="1983" t="s">
        <v>1905</v>
      </c>
      <c r="C139" s="734"/>
      <c r="D139" s="734"/>
      <c r="E139" s="734"/>
      <c r="F139" s="734"/>
      <c r="G139" s="734"/>
      <c r="H139" s="734"/>
      <c r="I139" s="734"/>
    </row>
    <row r="140" spans="1:35" ht="21.75" customHeight="1">
      <c r="A140" s="734"/>
      <c r="B140" s="1983"/>
      <c r="C140" s="734"/>
      <c r="D140" s="734"/>
      <c r="E140" s="734"/>
      <c r="F140" s="734"/>
      <c r="G140" s="734"/>
      <c r="H140" s="734"/>
      <c r="I140" s="734"/>
    </row>
    <row r="141" spans="1:35" ht="21.75" customHeight="1">
      <c r="A141" s="734"/>
      <c r="B141" s="1981"/>
      <c r="C141" s="1981"/>
      <c r="D141" s="1981"/>
      <c r="E141" s="1981"/>
      <c r="F141" s="1981"/>
      <c r="G141" s="1981"/>
      <c r="H141" s="1981"/>
      <c r="I141" s="1982" t="s">
        <v>1904</v>
      </c>
    </row>
    <row r="142" spans="1:35" ht="21.75" customHeight="1">
      <c r="A142" s="734"/>
      <c r="B142" s="1983"/>
      <c r="C142" s="1984"/>
      <c r="D142" s="1985"/>
      <c r="E142" s="1985"/>
      <c r="F142" s="1874"/>
      <c r="G142" s="734"/>
      <c r="H142" s="734"/>
      <c r="I142" s="734"/>
    </row>
    <row r="143" spans="1:35" s="135" customFormat="1" ht="21.75" customHeight="1">
      <c r="A143" s="734"/>
      <c r="B143" s="1983"/>
      <c r="C143" s="1984"/>
      <c r="D143" s="1985"/>
      <c r="E143" s="1985"/>
      <c r="F143" s="187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70" t="str">
        <f>项目基本情况!B1</f>
        <v>北京市房地产抵押价值预评估</v>
      </c>
      <c r="C37" s="3270"/>
      <c r="D37" s="3270"/>
      <c r="E37" s="3270"/>
      <c r="F37" s="3270"/>
      <c r="G37" s="3270"/>
      <c r="H37" s="3270"/>
      <c r="I37" s="3270"/>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项目基本情况!K4</f>
        <v>（注册号：0)、（注册号：0)</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33" sqref="C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7</v>
      </c>
    </row>
    <row r="2" spans="1:9" s="206" customFormat="1" ht="18" customHeight="1">
      <c r="A2" s="207" t="s">
        <v>1907</v>
      </c>
      <c r="B2" s="208">
        <f ca="1">IF(D2="——",C52,C52-E2)</f>
        <v>7660</v>
      </c>
      <c r="C2" s="205" t="s">
        <v>1908</v>
      </c>
      <c r="D2" s="1986" t="s">
        <v>70</v>
      </c>
      <c r="E2" s="1281" t="e">
        <f ca="1">SUMIF(INDIRECT("'"&amp;G2&amp;"'"&amp;"!A:A"),"承租人权益价值",INDIRECT("'"&amp;G2&amp;"'"&amp;"!c:c"))</f>
        <v>#REF!</v>
      </c>
      <c r="F2" s="1987" t="s">
        <v>1908</v>
      </c>
      <c r="G2" s="1988"/>
    </row>
    <row r="3" spans="1:9" s="206" customFormat="1" ht="18" customHeight="1" thickBot="1">
      <c r="A3" s="209" t="s">
        <v>1909</v>
      </c>
      <c r="B3" s="210">
        <f ca="1">ROUND(B2*10000/(IF(B1="",'数据-汇总表'!E3,INDIRECT("'数据-取费表'!k"&amp;$G$1))),0)</f>
        <v>19968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3672</v>
      </c>
      <c r="D5" s="217" t="s">
        <v>1914</v>
      </c>
      <c r="E5" s="218" t="s">
        <v>1915</v>
      </c>
      <c r="F5" s="218" t="s">
        <v>1916</v>
      </c>
      <c r="G5" s="219"/>
    </row>
    <row r="6" spans="1:9" s="220" customFormat="1" ht="13.5" customHeight="1">
      <c r="A6" s="864" t="s">
        <v>1917</v>
      </c>
      <c r="B6" s="221" t="s">
        <v>1918</v>
      </c>
      <c r="C6" s="222">
        <f>[2]基准地价修正!$E$37+[2]基准地价修正!$E$42</f>
        <v>3489</v>
      </c>
      <c r="D6" s="223"/>
      <c r="E6" s="224"/>
      <c r="F6" s="224"/>
      <c r="G6" s="225"/>
    </row>
    <row r="7" spans="1:9" s="220" customFormat="1" ht="13.5" customHeight="1">
      <c r="A7" s="864" t="s">
        <v>1919</v>
      </c>
      <c r="B7" s="221" t="s">
        <v>1920</v>
      </c>
      <c r="C7" s="226">
        <f>ROUND(C6*F7,0)</f>
        <v>106</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77</v>
      </c>
      <c r="D8" s="228"/>
      <c r="E8" s="226"/>
      <c r="F8" s="227"/>
      <c r="G8" s="1989" t="s">
        <v>3187</v>
      </c>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160</v>
      </c>
      <c r="F9" s="227"/>
      <c r="G9" s="1990" t="s">
        <v>3201</v>
      </c>
      <c r="H9" s="1249"/>
      <c r="I9" s="1991" t="s">
        <v>1924</v>
      </c>
    </row>
    <row r="10" spans="1:9" s="220" customFormat="1" ht="13.5" customHeight="1">
      <c r="A10" s="865" t="s">
        <v>620</v>
      </c>
      <c r="B10" s="230" t="s">
        <v>1925</v>
      </c>
      <c r="C10" s="231">
        <f ca="1">ROUND(D10*E10/10000,0)</f>
        <v>77</v>
      </c>
      <c r="D10" s="932">
        <f ca="1">IF(B1="",'数据-汇总表'!E6,IF(INDIRECT("'数据-取费表'!c"&amp;$G$1)="住宅",INDIRECT("'数据-取费表'!s"&amp;$G$1),INDIRECT("'数据-取费表'!k"&amp;$G$1)+INDIRECT("'数据-取费表'!s"&amp;$G$1)))</f>
        <v>3836.1200000000003</v>
      </c>
      <c r="E10" s="231">
        <f>'数据-取费表'!B28</f>
        <v>200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t="str">
        <f>IF(G19="已包含在土地取得成本中","0",ROUND(D19*E19/10000,0))</f>
        <v>0</v>
      </c>
      <c r="D19" s="936">
        <f ca="1">D9+D10</f>
        <v>3836.1200000000003</v>
      </c>
      <c r="E19" s="217">
        <f>'数据-取费表'!B31</f>
        <v>200</v>
      </c>
      <c r="F19" s="237"/>
      <c r="G19" s="1989" t="s">
        <v>3188</v>
      </c>
    </row>
    <row r="20" spans="1:7" s="220" customFormat="1" ht="13.5" customHeight="1">
      <c r="A20" s="261" t="s">
        <v>1938</v>
      </c>
      <c r="B20" s="216" t="s">
        <v>1939</v>
      </c>
      <c r="C20" s="238">
        <f>ROUND((C5+C19)*F20,0)</f>
        <v>73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318</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315</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3</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749</v>
      </c>
      <c r="D27" s="241">
        <f ca="1">C29</f>
        <v>4.0000000000000001E-3</v>
      </c>
      <c r="E27" s="242" t="s">
        <v>1959</v>
      </c>
      <c r="F27" s="252">
        <f ca="1">IF(B1="",'数据-取费表'!Q16,INDIRECT("'数据-取费表'!q"&amp;$G$1))</f>
        <v>0.2</v>
      </c>
      <c r="G27" s="253" t="s">
        <v>1960</v>
      </c>
    </row>
    <row r="28" spans="1:7" s="220" customFormat="1" ht="13.5" customHeight="1">
      <c r="A28" s="866" t="s">
        <v>610</v>
      </c>
      <c r="B28" s="254" t="s">
        <v>1961</v>
      </c>
      <c r="C28" s="255">
        <f ca="1">ROUND((C5+C19+C20)*F27*'数据-取费表'!B21/'数据-取费表'!B20,0)</f>
        <v>749</v>
      </c>
      <c r="D28" s="241"/>
      <c r="E28" s="242"/>
      <c r="F28" s="252"/>
      <c r="G28" s="253"/>
    </row>
    <row r="29" spans="1:7" s="220" customFormat="1" ht="13.5" customHeight="1">
      <c r="A29" s="866"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5215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1915</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1726</v>
      </c>
      <c r="D34" s="223"/>
      <c r="E34" s="226"/>
      <c r="F34" s="263">
        <f ca="1">IF('数据-取费表'!B24=0,1,IF(B1="",'数据-取费表'!N16,INDIRECT("'数据-取费表'!n"&amp;$G$1)))</f>
        <v>1</v>
      </c>
      <c r="G34" s="225" t="s">
        <v>1971</v>
      </c>
    </row>
    <row r="35" spans="1:7" ht="13.5" customHeight="1">
      <c r="A35" s="866" t="s">
        <v>615</v>
      </c>
      <c r="B35" s="221" t="s">
        <v>1972</v>
      </c>
      <c r="C35" s="226">
        <f ca="1">ROUND(C34*F35,0)</f>
        <v>86</v>
      </c>
      <c r="D35" s="226"/>
      <c r="E35" s="226"/>
      <c r="F35" s="265">
        <f>'数据-取费表'!B33</f>
        <v>0.05</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77</v>
      </c>
      <c r="D37" s="223">
        <f ca="1">D19</f>
        <v>3836.1200000000003</v>
      </c>
      <c r="E37" s="255">
        <f>'数据-取费表'!B35</f>
        <v>200</v>
      </c>
      <c r="F37" s="265"/>
      <c r="G37" s="267" t="s">
        <v>1977</v>
      </c>
    </row>
    <row r="38" spans="1:7" ht="13.5" customHeight="1">
      <c r="A38" s="866" t="s">
        <v>618</v>
      </c>
      <c r="B38" s="221" t="s">
        <v>1978</v>
      </c>
      <c r="C38" s="226">
        <f ca="1">ROUND(C34*F38,0)</f>
        <v>26</v>
      </c>
      <c r="D38" s="226"/>
      <c r="E38" s="226"/>
      <c r="F38" s="265">
        <f>'数据-取费表'!B36</f>
        <v>1.4999999999999999E-2</v>
      </c>
      <c r="G38" s="225" t="s">
        <v>1973</v>
      </c>
    </row>
    <row r="39" spans="1:7" s="220" customFormat="1" ht="13.5" customHeight="1">
      <c r="A39" s="261" t="s">
        <v>1979</v>
      </c>
      <c r="B39" s="216" t="s">
        <v>1980</v>
      </c>
      <c r="C39" s="238">
        <f ca="1">ROUND(C33*F20,0)</f>
        <v>38</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82</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80</v>
      </c>
      <c r="D42" s="244"/>
      <c r="E42" s="244"/>
      <c r="F42" s="245"/>
      <c r="G42" s="3459" t="s">
        <v>1989</v>
      </c>
    </row>
    <row r="43" spans="1:7" ht="13.5" customHeight="1">
      <c r="A43" s="866" t="s">
        <v>611</v>
      </c>
      <c r="B43" s="221" t="s">
        <v>1990</v>
      </c>
      <c r="C43" s="244">
        <f ca="1">ROUND(IF('数据-取费表'!B22&lt;=1,C39*F22*'数据-取费表'!B21/2,C39*(POWER((1+F22),'数据-取费表'!B21/2)-1)),0)</f>
        <v>2</v>
      </c>
      <c r="D43" s="244"/>
      <c r="E43" s="244"/>
      <c r="F43" s="245"/>
      <c r="G43" s="3460"/>
    </row>
    <row r="44" spans="1:7" ht="13.5" customHeight="1">
      <c r="A44" s="866" t="s">
        <v>612</v>
      </c>
      <c r="B44" s="221" t="s">
        <v>1991</v>
      </c>
      <c r="C44" s="244">
        <f ca="1">ROUND(IF('数据-取费表'!B22&lt;=1,C40*F22*'数据-取费表'!B21/2,C40*(POWER((1+F22),'数据-取费表'!B21/2)-1)),4)</f>
        <v>8.0000000000000004E-4</v>
      </c>
      <c r="D44" s="244"/>
      <c r="E44" s="244"/>
      <c r="F44" s="245"/>
      <c r="G44" s="3461"/>
    </row>
    <row r="45" spans="1:7" s="220" customFormat="1" ht="13.5" customHeight="1">
      <c r="A45" s="261" t="s">
        <v>1992</v>
      </c>
      <c r="B45" s="250" t="s">
        <v>1958</v>
      </c>
      <c r="C45" s="251">
        <f ca="1">C46</f>
        <v>391</v>
      </c>
      <c r="D45" s="241">
        <f ca="1">C47</f>
        <v>4.0000000000000001E-3</v>
      </c>
      <c r="E45" s="242" t="s">
        <v>1984</v>
      </c>
      <c r="F45" s="2484">
        <f ca="1">F27</f>
        <v>0.2</v>
      </c>
      <c r="G45" s="253" t="s">
        <v>1993</v>
      </c>
    </row>
    <row r="46" spans="1:7" s="220" customFormat="1" ht="13.5" customHeight="1">
      <c r="A46" s="866" t="s">
        <v>610</v>
      </c>
      <c r="B46" s="254" t="s">
        <v>1994</v>
      </c>
      <c r="C46" s="255">
        <f ca="1">ROUND((C33+C39)*F27,0)</f>
        <v>391</v>
      </c>
      <c r="D46" s="269"/>
      <c r="E46" s="242"/>
      <c r="F46" s="252"/>
      <c r="G46" s="253"/>
    </row>
    <row r="47" spans="1:7" s="220" customFormat="1" ht="13.5" customHeight="1">
      <c r="A47" s="866" t="s">
        <v>611</v>
      </c>
      <c r="B47" s="254" t="s">
        <v>1995</v>
      </c>
      <c r="C47" s="244">
        <f ca="1">ROUND(C40*F27,4)</f>
        <v>4.0000000000000001E-3</v>
      </c>
      <c r="D47" s="269"/>
      <c r="E47" s="242"/>
      <c r="F47" s="252"/>
      <c r="G47" s="253"/>
    </row>
    <row r="48" spans="1:7" s="220" customFormat="1" ht="13.5" customHeight="1">
      <c r="A48" s="261" t="s">
        <v>1957</v>
      </c>
      <c r="B48" s="216" t="s">
        <v>1996</v>
      </c>
      <c r="C48" s="1445">
        <f>ROUND(F30/(1+'数据-取费表'!C42),4)</f>
        <v>5.2400000000000002E-2</v>
      </c>
      <c r="D48" s="242" t="s">
        <v>1984</v>
      </c>
      <c r="E48" s="238"/>
      <c r="F48" s="2483">
        <f>F30</f>
        <v>5.5000000000000007E-2</v>
      </c>
      <c r="G48" s="240" t="s">
        <v>1997</v>
      </c>
    </row>
    <row r="49" spans="1:7" ht="16.5" customHeight="1">
      <c r="A49" s="261" t="s">
        <v>1963</v>
      </c>
      <c r="B49" s="216" t="s">
        <v>1998</v>
      </c>
      <c r="C49" s="238">
        <f ca="1">ROUND((C33+C39+C41+C45)/(1-C40-D41-D45-C48),0)</f>
        <v>2629</v>
      </c>
      <c r="D49" s="238"/>
      <c r="E49" s="238"/>
      <c r="F49" s="270"/>
      <c r="G49" s="240" t="s">
        <v>1999</v>
      </c>
    </row>
    <row r="50" spans="1:7" s="264" customFormat="1" ht="24">
      <c r="A50" s="261" t="s">
        <v>2000</v>
      </c>
      <c r="B50" s="216" t="s">
        <v>2001</v>
      </c>
      <c r="C50" s="238"/>
      <c r="D50" s="238"/>
      <c r="E50" s="238"/>
      <c r="F50" s="270">
        <f>IF('数据-取费表'!B24=0,'数据-取费表'!N16,1)</f>
        <v>0.93</v>
      </c>
      <c r="G50" s="253" t="s">
        <v>2002</v>
      </c>
    </row>
    <row r="51" spans="1:7" ht="16.5" customHeight="1">
      <c r="A51" s="261" t="s">
        <v>2003</v>
      </c>
      <c r="B51" s="216" t="s">
        <v>2004</v>
      </c>
      <c r="C51" s="238">
        <f ca="1">ROUND(C49*F50,0)</f>
        <v>2445</v>
      </c>
      <c r="D51" s="238"/>
      <c r="E51" s="238"/>
      <c r="F51" s="270"/>
      <c r="G51" s="240" t="s">
        <v>2005</v>
      </c>
    </row>
    <row r="52" spans="1:7" s="214" customFormat="1" ht="16.5" thickBot="1">
      <c r="A52" s="271" t="s">
        <v>2006</v>
      </c>
      <c r="B52" s="272"/>
      <c r="C52" s="273">
        <f ca="1">C31+C51</f>
        <v>7660</v>
      </c>
      <c r="D52" s="272"/>
      <c r="E52" s="272"/>
      <c r="F52" s="272"/>
      <c r="G52" s="274"/>
    </row>
    <row r="55" spans="1:7" ht="15">
      <c r="B55" s="276" t="s">
        <v>2007</v>
      </c>
      <c r="C55" s="277"/>
    </row>
    <row r="56" spans="1:7">
      <c r="B56" s="279" t="s">
        <v>1237</v>
      </c>
      <c r="C56" s="281">
        <f ca="1">1-C57</f>
        <v>0.68100000000000005</v>
      </c>
    </row>
    <row r="57" spans="1:7">
      <c r="B57" s="279" t="s">
        <v>1238</v>
      </c>
      <c r="C57" s="280">
        <f ca="1">ROUND(C51/C52,3)</f>
        <v>0.31900000000000001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2" t="s">
        <v>2008</v>
      </c>
      <c r="D1" s="204"/>
      <c r="E1" s="204"/>
      <c r="F1" s="204"/>
      <c r="G1" s="1238">
        <f>MATCH(B1,'数据-取费表'!A6:A16,0)+5</f>
        <v>7</v>
      </c>
      <c r="H1" s="1170" t="str">
        <f>IF(ISERROR(FIND("住宅",B1)),"非住宅","住宅")</f>
        <v>非住宅</v>
      </c>
    </row>
    <row r="2" spans="1:8" s="206" customFormat="1" ht="18" customHeight="1">
      <c r="A2" s="207" t="s">
        <v>1907</v>
      </c>
      <c r="B2" s="208">
        <f ca="1">ROUND(IF(D2="——",C52/10000,C52/10000-E2),0)</f>
        <v>2663</v>
      </c>
      <c r="C2" s="205" t="s">
        <v>1908</v>
      </c>
      <c r="D2" s="1986" t="s">
        <v>70</v>
      </c>
      <c r="E2" s="1281" t="e">
        <f ca="1">SUMIF(INDIRECT("'"&amp;G2&amp;"'"&amp;"!A:A"),"承租人权益价值",INDIRECT("'"&amp;G2&amp;"'"&amp;"!c:c"))</f>
        <v>#REF!</v>
      </c>
      <c r="F2" s="1987" t="s">
        <v>1908</v>
      </c>
      <c r="G2" s="1988"/>
    </row>
    <row r="3" spans="1:8" s="206" customFormat="1" ht="18" customHeight="1" thickBot="1">
      <c r="A3" s="209" t="s">
        <v>1909</v>
      </c>
      <c r="B3" s="210">
        <f ca="1">ROUND(B2*10000/(IF(B1="",'数据-汇总表'!E3,INDIRECT("'数据-取费表'!k"&amp;$G$1))),0)</f>
        <v>6942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767224</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767224</v>
      </c>
      <c r="D8" s="228"/>
      <c r="E8" s="226"/>
      <c r="F8" s="227"/>
      <c r="G8" s="1989"/>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160</v>
      </c>
      <c r="F9" s="227"/>
      <c r="G9" s="232"/>
    </row>
    <row r="10" spans="1:8" s="220" customFormat="1" ht="13.5" customHeight="1">
      <c r="A10" s="865" t="s">
        <v>620</v>
      </c>
      <c r="B10" s="230" t="s">
        <v>1925</v>
      </c>
      <c r="C10" s="231">
        <f ca="1">ROUND(D10*E10,0)</f>
        <v>767224</v>
      </c>
      <c r="D10" s="932">
        <f ca="1">IF(B1="",'数据-汇总表'!E6,IF(INDIRECT("'数据-取费表'!c"&amp;$G$1)="住宅",INDIRECT("'数据-取费表'!s"&amp;$G$1),INDIRECT("'数据-取费表'!k"&amp;$G$1)+INDIRECT("'数据-取费表'!s"&amp;$G$1)))</f>
        <v>3836.1200000000003</v>
      </c>
      <c r="E10" s="231">
        <f>'数据-取费表'!B28</f>
        <v>200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767224</v>
      </c>
      <c r="D19" s="936">
        <f ca="1">D9+D10</f>
        <v>3836.1200000000003</v>
      </c>
      <c r="E19" s="217">
        <f>'数据-取费表'!B31</f>
        <v>200</v>
      </c>
      <c r="F19" s="237"/>
      <c r="G19" s="1989"/>
    </row>
    <row r="20" spans="1:7" s="220" customFormat="1" ht="13.5" customHeight="1">
      <c r="A20" s="261" t="s">
        <v>2019</v>
      </c>
      <c r="B20" s="216" t="s">
        <v>2020</v>
      </c>
      <c r="C20" s="238">
        <f ca="1">ROUND((C5+C19)*F20,0)</f>
        <v>30689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132889</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65800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65800</v>
      </c>
      <c r="D24" s="244"/>
      <c r="E24" s="244"/>
      <c r="F24" s="245"/>
      <c r="G24" s="246" t="s">
        <v>2031</v>
      </c>
    </row>
    <row r="25" spans="1:7" s="220" customFormat="1" ht="24">
      <c r="A25" s="866" t="s">
        <v>1921</v>
      </c>
      <c r="B25" s="221" t="s">
        <v>2032</v>
      </c>
      <c r="C25" s="1240">
        <f ca="1">ROUND(IF('数据-取费表'!B22&lt;=1,C20*F22*'数据-取费表'!B22/2,C20*(POWER((1+F22),'数据-取费表'!B22/2)-1)),0)</f>
        <v>1289</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313027</v>
      </c>
      <c r="D27" s="241">
        <f ca="1">C29</f>
        <v>4.0000000000000001E-3</v>
      </c>
      <c r="E27" s="242" t="s">
        <v>1959</v>
      </c>
      <c r="F27" s="252">
        <f ca="1">IF(B1="",'数据-取费表'!Q16,INDIRECT("'数据-取费表'!q"&amp;$G$1))</f>
        <v>0.2</v>
      </c>
      <c r="G27" s="253" t="s">
        <v>1960</v>
      </c>
    </row>
    <row r="28" spans="1:7" s="220" customFormat="1" ht="13.5" customHeight="1">
      <c r="A28" s="866" t="s">
        <v>610</v>
      </c>
      <c r="B28" s="254" t="s">
        <v>1961</v>
      </c>
      <c r="C28" s="255">
        <f ca="1">ROUND((C5+C19+C20)*F27,0)</f>
        <v>313027</v>
      </c>
      <c r="D28" s="241"/>
      <c r="E28" s="242"/>
      <c r="F28" s="252"/>
      <c r="G28" s="253"/>
    </row>
    <row r="29" spans="1:7" s="220" customFormat="1" ht="13.5" customHeight="1">
      <c r="A29" s="866"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2179295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19151829</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17262540</v>
      </c>
      <c r="D34" s="223"/>
      <c r="E34" s="226"/>
      <c r="F34" s="263"/>
      <c r="G34" s="225"/>
    </row>
    <row r="35" spans="1:7" ht="13.5" customHeight="1">
      <c r="A35" s="866" t="s">
        <v>615</v>
      </c>
      <c r="B35" s="221" t="s">
        <v>1972</v>
      </c>
      <c r="C35" s="226">
        <f ca="1">ROUND(C34*F35,0)</f>
        <v>863127</v>
      </c>
      <c r="D35" s="226"/>
      <c r="E35" s="226"/>
      <c r="F35" s="265">
        <f>'数据-取费表'!B33</f>
        <v>0.05</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767224</v>
      </c>
      <c r="D37" s="223">
        <f ca="1">D19</f>
        <v>3836.1200000000003</v>
      </c>
      <c r="E37" s="255">
        <f>'数据-取费表'!B35</f>
        <v>200</v>
      </c>
      <c r="F37" s="265"/>
      <c r="G37" s="267"/>
    </row>
    <row r="38" spans="1:7" ht="13.5" customHeight="1">
      <c r="A38" s="866" t="s">
        <v>618</v>
      </c>
      <c r="B38" s="221" t="s">
        <v>1978</v>
      </c>
      <c r="C38" s="226">
        <f ca="1">ROUND(C34*F38,0)</f>
        <v>258938</v>
      </c>
      <c r="D38" s="226"/>
      <c r="E38" s="226"/>
      <c r="F38" s="265">
        <f>'数据-取费表'!B36</f>
        <v>1.4999999999999999E-2</v>
      </c>
      <c r="G38" s="225" t="s">
        <v>1973</v>
      </c>
    </row>
    <row r="39" spans="1:7" s="220" customFormat="1" ht="13.5" customHeight="1">
      <c r="A39" s="261" t="s">
        <v>1979</v>
      </c>
      <c r="B39" s="216" t="s">
        <v>1980</v>
      </c>
      <c r="C39" s="238">
        <f ca="1">ROUND(C33*F20,0)</f>
        <v>383037</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820465</v>
      </c>
      <c r="D41" s="241">
        <f ca="1">C44</f>
        <v>8.0000000000000004E-4</v>
      </c>
      <c r="E41" s="242" t="s">
        <v>1984</v>
      </c>
      <c r="F41" s="2483">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804377</v>
      </c>
      <c r="D42" s="244"/>
      <c r="E42" s="244"/>
      <c r="F42" s="245"/>
      <c r="G42" s="3459" t="s">
        <v>2036</v>
      </c>
    </row>
    <row r="43" spans="1:7" ht="13.5" customHeight="1">
      <c r="A43" s="866" t="s">
        <v>611</v>
      </c>
      <c r="B43" s="221" t="s">
        <v>1990</v>
      </c>
      <c r="C43" s="244">
        <f ca="1">ROUND(IF('数据-取费表'!B22&lt;=1,C39*F22*'数据-取费表'!B20/2,C39*(POWER((1+F22),'数据-取费表'!B20/2)-1)),0)</f>
        <v>16088</v>
      </c>
      <c r="D43" s="244"/>
      <c r="E43" s="244"/>
      <c r="F43" s="245"/>
      <c r="G43" s="3460"/>
    </row>
    <row r="44" spans="1:7" ht="13.5" customHeight="1">
      <c r="A44" s="866" t="s">
        <v>612</v>
      </c>
      <c r="B44" s="221" t="s">
        <v>1991</v>
      </c>
      <c r="C44" s="244">
        <f ca="1">ROUND(IF('数据-取费表'!B22&lt;=1,C40*F22*'数据-取费表'!B20/2,C40*(POWER((1+F22),'数据-取费表'!B20/2)-1)),4)</f>
        <v>8.0000000000000004E-4</v>
      </c>
      <c r="D44" s="244"/>
      <c r="E44" s="244"/>
      <c r="F44" s="245"/>
      <c r="G44" s="3461"/>
    </row>
    <row r="45" spans="1:7" s="220" customFormat="1" ht="13.5" customHeight="1">
      <c r="A45" s="261" t="s">
        <v>1992</v>
      </c>
      <c r="B45" s="250" t="s">
        <v>1958</v>
      </c>
      <c r="C45" s="251">
        <f ca="1">C46</f>
        <v>3906973</v>
      </c>
      <c r="D45" s="241">
        <f ca="1">C47</f>
        <v>4.0000000000000001E-3</v>
      </c>
      <c r="E45" s="242" t="s">
        <v>1984</v>
      </c>
      <c r="F45" s="2484">
        <f ca="1">F27</f>
        <v>0.2</v>
      </c>
      <c r="G45" s="253" t="s">
        <v>1993</v>
      </c>
    </row>
    <row r="46" spans="1:7" s="220" customFormat="1" ht="13.5" customHeight="1">
      <c r="A46" s="866" t="s">
        <v>610</v>
      </c>
      <c r="B46" s="254" t="s">
        <v>1994</v>
      </c>
      <c r="C46" s="255">
        <f ca="1">ROUND((C33+C39)*F27,0)</f>
        <v>3906973</v>
      </c>
      <c r="D46" s="269"/>
      <c r="E46" s="242"/>
      <c r="F46" s="252"/>
      <c r="G46" s="253"/>
    </row>
    <row r="47" spans="1:7" s="220" customFormat="1" ht="13.5" customHeight="1">
      <c r="A47" s="866"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3">
        <f>F30</f>
        <v>5.5000000000000007E-2</v>
      </c>
      <c r="G48" s="240" t="s">
        <v>1997</v>
      </c>
    </row>
    <row r="49" spans="1:7" ht="16.5" customHeight="1">
      <c r="A49" s="261" t="s">
        <v>1963</v>
      </c>
      <c r="B49" s="216" t="s">
        <v>2037</v>
      </c>
      <c r="C49" s="238">
        <f ca="1">ROUND((C33+C39+C41+C45)/(1-C40-D41-D45-C48),0)</f>
        <v>26292050</v>
      </c>
      <c r="D49" s="238"/>
      <c r="E49" s="238"/>
      <c r="F49" s="270"/>
      <c r="G49" s="240" t="s">
        <v>1999</v>
      </c>
    </row>
    <row r="50" spans="1:7" s="264" customFormat="1">
      <c r="A50" s="261" t="s">
        <v>2000</v>
      </c>
      <c r="B50" s="216" t="s">
        <v>2001</v>
      </c>
      <c r="C50" s="238"/>
      <c r="D50" s="238"/>
      <c r="E50" s="238"/>
      <c r="F50" s="270">
        <f>IF('数据-取费表'!B24=0,'数据-取费表'!N16,1)</f>
        <v>0.93</v>
      </c>
      <c r="G50" s="253"/>
    </row>
    <row r="51" spans="1:7" ht="16.5" customHeight="1">
      <c r="A51" s="261" t="s">
        <v>2003</v>
      </c>
      <c r="B51" s="216" t="s">
        <v>2038</v>
      </c>
      <c r="C51" s="238">
        <f ca="1">ROUND(C49*F50,0)</f>
        <v>24451607</v>
      </c>
      <c r="D51" s="238"/>
      <c r="E51" s="238"/>
      <c r="F51" s="270"/>
      <c r="G51" s="240" t="s">
        <v>2005</v>
      </c>
    </row>
    <row r="52" spans="1:7" s="214" customFormat="1" ht="16.5" thickBot="1">
      <c r="A52" s="271" t="s">
        <v>2006</v>
      </c>
      <c r="B52" s="272"/>
      <c r="C52" s="273">
        <f ca="1">C31+C51</f>
        <v>26630902</v>
      </c>
      <c r="D52" s="272"/>
      <c r="E52" s="272"/>
      <c r="F52" s="272"/>
      <c r="G52" s="274"/>
    </row>
    <row r="55" spans="1:7" ht="15">
      <c r="B55" s="276" t="s">
        <v>2007</v>
      </c>
      <c r="C55" s="277"/>
    </row>
    <row r="56" spans="1:7">
      <c r="B56" s="279" t="s">
        <v>1237</v>
      </c>
      <c r="C56" s="281">
        <f ca="1">1-C57</f>
        <v>8.1999999999999962E-2</v>
      </c>
    </row>
    <row r="57" spans="1:7">
      <c r="B57" s="279" t="s">
        <v>1238</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67" customWidth="1"/>
    <col min="3" max="3" width="10.375" style="910" customWidth="1"/>
    <col min="4" max="4" width="9.875" style="867" customWidth="1"/>
    <col min="5" max="5" width="9.5" style="737"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3"/>
      <c r="F1" s="2983"/>
      <c r="G1" s="2846"/>
      <c r="H1" s="2983"/>
      <c r="I1" s="2983"/>
      <c r="J1" s="2983"/>
      <c r="K1" s="2984">
        <f>MATCH(C1,'数据-取费表'!A6:A16,0)+5</f>
        <v>7</v>
      </c>
    </row>
    <row r="2" spans="1:33" ht="18" customHeight="1">
      <c r="A2" s="207" t="s">
        <v>1907</v>
      </c>
      <c r="B2" s="210">
        <f ca="1">C32</f>
        <v>0</v>
      </c>
      <c r="C2" s="282" t="s">
        <v>2040</v>
      </c>
      <c r="D2" s="282"/>
      <c r="E2" s="2983"/>
      <c r="F2" s="2983"/>
      <c r="G2" s="2983"/>
      <c r="H2" s="2983"/>
      <c r="I2" s="2983"/>
      <c r="J2" s="2983"/>
      <c r="K2" s="2983"/>
    </row>
    <row r="3" spans="1:33" ht="18" customHeight="1" thickBot="1">
      <c r="A3" s="209" t="s">
        <v>1909</v>
      </c>
      <c r="B3" s="210">
        <f ca="1">ROUND(B2*10000/IF(C1="",'数据-汇总表'!E3,INDIRECT("'数据-取费表'!K"&amp;$K$1)),0)</f>
        <v>0</v>
      </c>
      <c r="C3" s="282" t="s">
        <v>2041</v>
      </c>
      <c r="D3" s="282"/>
      <c r="E3" s="2983"/>
      <c r="F3" s="2983"/>
      <c r="G3" s="2983"/>
      <c r="H3" s="2983"/>
      <c r="I3" s="2983"/>
      <c r="J3" s="2983"/>
      <c r="K3" s="2983"/>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3" t="s">
        <v>2045</v>
      </c>
      <c r="D5" s="1993" t="s">
        <v>2046</v>
      </c>
      <c r="E5" s="1993" t="s">
        <v>2047</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0.05</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3836.1200000000003</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3836.1200000000003</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5"/>
      <c r="H18" s="1299"/>
      <c r="I18" s="1996"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160</v>
      </c>
      <c r="F19" s="891"/>
      <c r="G19" s="15"/>
      <c r="H19" s="1301"/>
      <c r="I19" s="896"/>
      <c r="J19" s="896"/>
      <c r="K19" s="897"/>
    </row>
    <row r="20" spans="1:33" s="890" customFormat="1" ht="13.5" customHeight="1">
      <c r="A20" s="886" t="s">
        <v>625</v>
      </c>
      <c r="B20" s="887" t="s">
        <v>2075</v>
      </c>
      <c r="C20" s="24">
        <f ca="1">ROUND(D20*E20/10000,0)</f>
        <v>77</v>
      </c>
      <c r="D20" s="933">
        <f ca="1">IF(C1="",'数据-汇总表'!E6,IF(INDIRECT("'数据-取费表'!c"&amp;$K$1)="住宅",INDIRECT("'数据-取费表'!s"&amp;$K$1),INDIRECT("'数据-取费表'!k"&amp;$K$1)+INDIRECT("'数据-取费表'!s"&amp;$K$1)))</f>
        <v>3836.1200000000003</v>
      </c>
      <c r="E20" s="24">
        <f>'数据-取费表'!B28</f>
        <v>200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7" t="str">
        <f>IF('数据-取费表'!B22&lt;=1,"（1）-（3）项×年利率×建设期÷2","（1）-（3）项×((1+年利率)^(建设期÷2)-1)")</f>
        <v>（1）-（3）项×((1+年利率)^(建设期÷2)-1)</v>
      </c>
      <c r="H27" s="894"/>
      <c r="I27" s="894"/>
      <c r="J27" s="894"/>
      <c r="K27" s="895"/>
    </row>
    <row r="28" spans="1:33" s="295" customFormat="1" ht="13.5" customHeight="1">
      <c r="A28" s="876" t="s">
        <v>2089</v>
      </c>
      <c r="B28" s="1998" t="s">
        <v>2090</v>
      </c>
      <c r="C28" s="293">
        <f ca="1">C30</f>
        <v>0</v>
      </c>
      <c r="D28" s="286">
        <f ca="1">C29</f>
        <v>0</v>
      </c>
      <c r="E28" s="288" t="s">
        <v>15</v>
      </c>
      <c r="F28" s="294">
        <f ca="1">IF(C1="",'数据-取费表'!Q16,INDIRECT("'数据-取费表'!q"&amp;$K$1))</f>
        <v>0.2</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1999" t="s">
        <v>2094</v>
      </c>
      <c r="B31" s="920" t="s">
        <v>2095</v>
      </c>
      <c r="C31" s="921">
        <f>ROUND(C4*F31/(1+'数据-取费表'!C42),0)</f>
        <v>0</v>
      </c>
      <c r="D31" s="922"/>
      <c r="E31" s="923"/>
      <c r="F31" s="924">
        <f>'数据-取费表'!B41</f>
        <v>5.5000000000000007E-2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115" zoomScaleNormal="60" zoomScaleSheetLayoutView="11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#REF!</v>
      </c>
      <c r="C2" s="1017"/>
      <c r="D2" s="1017"/>
      <c r="E2" s="1017"/>
      <c r="F2" s="1018"/>
      <c r="G2" s="1017"/>
      <c r="H2" s="1017"/>
      <c r="I2" s="1017"/>
      <c r="J2" s="1017"/>
      <c r="K2" s="1019"/>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#REF!</v>
      </c>
      <c r="C3" s="209" t="s">
        <v>2326</v>
      </c>
      <c r="D3" s="1305"/>
      <c r="E3" s="1017"/>
      <c r="F3" s="1018"/>
      <c r="G3" s="1017"/>
      <c r="H3" s="1017"/>
      <c r="I3" s="1017"/>
      <c r="J3" s="1017"/>
      <c r="K3" s="1019"/>
      <c r="L3" s="2909"/>
      <c r="M3" s="2910"/>
      <c r="N3" s="2910"/>
      <c r="O3" s="2910"/>
      <c r="P3" s="708"/>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474" t="s">
        <v>2376</v>
      </c>
      <c r="D6" s="3475"/>
      <c r="E6" s="3477" t="s">
        <v>2376</v>
      </c>
      <c r="F6" s="3478"/>
      <c r="G6" s="3474" t="s">
        <v>2376</v>
      </c>
      <c r="H6" s="3475"/>
      <c r="I6" s="3474" t="s">
        <v>2376</v>
      </c>
      <c r="J6" s="3475"/>
      <c r="K6" s="567"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44788</v>
      </c>
      <c r="D7" s="371">
        <v>100</v>
      </c>
      <c r="E7" s="372" t="e">
        <f>#REF!</f>
        <v>#REF!</v>
      </c>
      <c r="F7" s="373">
        <f>SUMIF(65:65,YEAR(E7)&amp;"-"&amp;INT((MONTH(E7)+2)/3),66:66)</f>
        <v>0</v>
      </c>
      <c r="G7" s="2107" t="e">
        <f>#REF!</f>
        <v>#REF!</v>
      </c>
      <c r="H7" s="371">
        <f>SUMIF(65:65,YEAR(G7)&amp;"-"&amp;INT((MONTH(G7)+2)/3),66:66)</f>
        <v>0</v>
      </c>
      <c r="I7" s="2107" t="e">
        <f>#REF!</f>
        <v>#REF!</v>
      </c>
      <c r="J7" s="371">
        <f>SUMIF(65:65,YEAR(I7)&amp;"-"&amp;INT((MONTH(I7)+2)/3),66:66)</f>
        <v>0</v>
      </c>
      <c r="K7" s="568"/>
      <c r="L7" s="2892"/>
      <c r="M7" s="2893"/>
      <c r="N7" s="2893"/>
      <c r="O7" s="2893"/>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2"/>
      <c r="M8" s="2893"/>
      <c r="N8" s="2893"/>
      <c r="O8" s="2893"/>
      <c r="P8" s="3466" t="s">
        <v>2132</v>
      </c>
      <c r="Q8" s="3467"/>
      <c r="R8" s="710" t="s">
        <v>17</v>
      </c>
      <c r="S8" s="711">
        <f t="shared" si="0"/>
        <v>100</v>
      </c>
      <c r="T8" s="710" t="s">
        <v>17</v>
      </c>
      <c r="U8" s="711">
        <f t="shared" si="1"/>
        <v>100</v>
      </c>
      <c r="V8" s="710" t="s">
        <v>17</v>
      </c>
      <c r="W8" s="711">
        <f t="shared" si="2"/>
        <v>100</v>
      </c>
      <c r="X8" s="712"/>
      <c r="Y8" s="3466" t="s">
        <v>2132</v>
      </c>
      <c r="Z8" s="3467"/>
      <c r="AA8" s="713">
        <f t="shared" ref="AA8:AA40" si="3">D8/F8</f>
        <v>1</v>
      </c>
      <c r="AB8" s="713">
        <f t="shared" ref="AB8:AB40" si="4">D8/H8</f>
        <v>1</v>
      </c>
      <c r="AC8" s="713">
        <f t="shared" ref="AC8:AC40" si="5">D8/J8</f>
        <v>1</v>
      </c>
    </row>
    <row r="9" spans="1:29" s="113" customFormat="1">
      <c r="A9" s="375" t="s">
        <v>2133</v>
      </c>
      <c r="B9" s="67" t="s">
        <v>2134</v>
      </c>
      <c r="C9" s="2110"/>
      <c r="D9" s="131">
        <v>100</v>
      </c>
      <c r="E9" s="2110"/>
      <c r="F9" s="131">
        <f>SUMIF(70:70,E9,71:71)-SUMIF(70:70,C9,71:71)+100</f>
        <v>100</v>
      </c>
      <c r="G9" s="2110"/>
      <c r="H9" s="131">
        <f>SUMIF(70:70,G9,71:71)-SUMIF(70:70,C9,71:71)+100</f>
        <v>100</v>
      </c>
      <c r="I9" s="2110"/>
      <c r="J9" s="131">
        <f>SUMIF(70:70,I9,71:71)-SUMIF(70:70,C9,71:71)+100</f>
        <v>100</v>
      </c>
      <c r="K9" s="568"/>
      <c r="L9" s="2892"/>
      <c r="M9" s="2893"/>
      <c r="N9" s="2893"/>
      <c r="O9" s="2947"/>
      <c r="P9" s="3465"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4"/>
      <c r="M10" s="2895"/>
      <c r="N10" s="2895"/>
      <c r="O10" s="2948"/>
      <c r="P10" s="3465"/>
      <c r="Q10" s="1475" t="str">
        <f t="shared" si="6"/>
        <v>土地使用年限（年）</v>
      </c>
      <c r="R10" s="710" t="s">
        <v>17</v>
      </c>
      <c r="S10" s="711">
        <f t="shared" si="0"/>
        <v>114</v>
      </c>
      <c r="T10" s="710" t="s">
        <v>17</v>
      </c>
      <c r="U10" s="711">
        <f t="shared" si="1"/>
        <v>114</v>
      </c>
      <c r="V10" s="710" t="s">
        <v>17</v>
      </c>
      <c r="W10" s="711">
        <f t="shared" si="2"/>
        <v>114</v>
      </c>
      <c r="X10" s="712"/>
      <c r="Y10" s="3363"/>
      <c r="Z10" s="55" t="str">
        <f t="shared" si="7"/>
        <v>土地使用年限（年）</v>
      </c>
      <c r="AA10" s="713">
        <f t="shared" si="3"/>
        <v>0.8771929824561403</v>
      </c>
      <c r="AB10" s="713">
        <f t="shared" si="4"/>
        <v>0.8771929824561403</v>
      </c>
      <c r="AC10" s="713">
        <f t="shared" si="5"/>
        <v>0.8771929824561403</v>
      </c>
    </row>
    <row r="11" spans="1:29" ht="15">
      <c r="A11" s="387"/>
      <c r="B11" s="381" t="s">
        <v>2138</v>
      </c>
      <c r="C11" s="388">
        <v>1</v>
      </c>
      <c r="D11" s="132">
        <v>100</v>
      </c>
      <c r="E11" s="388">
        <v>1.1000000000000001</v>
      </c>
      <c r="F11" s="132">
        <f>LOOKUP(E11,75:75,76:76)-LOOKUP(C11,75:75,76:76)+100</f>
        <v>100</v>
      </c>
      <c r="G11" s="389">
        <v>1</v>
      </c>
      <c r="H11" s="132">
        <f>LOOKUP(G11,75:75,76:76)-LOOKUP(C11,75:75,76:76)+100</f>
        <v>100</v>
      </c>
      <c r="I11" s="388">
        <v>1</v>
      </c>
      <c r="J11" s="132">
        <f>LOOKUP(I11,75:75,76:76)-LOOKUP(C11,75:75,76:76)+100</f>
        <v>100</v>
      </c>
      <c r="K11" s="629">
        <v>1</v>
      </c>
      <c r="L11" s="2896"/>
      <c r="M11" s="2891"/>
      <c r="N11" s="2891"/>
      <c r="O11" s="2949"/>
      <c r="P11" s="3465"/>
      <c r="Q11" s="1475" t="str">
        <f t="shared" si="6"/>
        <v>容积率</v>
      </c>
      <c r="R11" s="710" t="s">
        <v>17</v>
      </c>
      <c r="S11" s="711">
        <f t="shared" si="0"/>
        <v>100</v>
      </c>
      <c r="T11" s="710" t="s">
        <v>17</v>
      </c>
      <c r="U11" s="711">
        <f t="shared" si="1"/>
        <v>100</v>
      </c>
      <c r="V11" s="710" t="s">
        <v>17</v>
      </c>
      <c r="W11" s="711">
        <f t="shared" si="2"/>
        <v>100</v>
      </c>
      <c r="X11" s="712"/>
      <c r="Y11" s="3363"/>
      <c r="Z11" s="55" t="str">
        <f t="shared" si="7"/>
        <v>容积率</v>
      </c>
      <c r="AA11" s="713">
        <f t="shared" si="3"/>
        <v>1</v>
      </c>
      <c r="AB11" s="713">
        <f t="shared" si="4"/>
        <v>1</v>
      </c>
      <c r="AC11" s="713">
        <f t="shared" si="5"/>
        <v>1</v>
      </c>
    </row>
    <row r="12" spans="1:29" s="113" customFormat="1" ht="15">
      <c r="A12" s="390"/>
      <c r="B12" s="2026">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6">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65"/>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585" t="s">
        <v>2377</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82" t="s">
        <v>2140</v>
      </c>
      <c r="Q15" s="1484" t="str">
        <f t="shared" si="6"/>
        <v>产业集聚程度</v>
      </c>
      <c r="R15" s="714" t="s">
        <v>17</v>
      </c>
      <c r="S15" s="715">
        <f t="shared" si="0"/>
        <v>100</v>
      </c>
      <c r="T15" s="714" t="s">
        <v>17</v>
      </c>
      <c r="U15" s="715">
        <f t="shared" si="1"/>
        <v>100</v>
      </c>
      <c r="V15" s="714" t="s">
        <v>17</v>
      </c>
      <c r="W15" s="715">
        <f t="shared" si="2"/>
        <v>100</v>
      </c>
      <c r="X15" s="1487"/>
      <c r="Y15" s="3482" t="s">
        <v>2140</v>
      </c>
      <c r="Z15" s="1488" t="str">
        <f t="shared" si="7"/>
        <v>产业集聚程度</v>
      </c>
      <c r="AA15" s="1485">
        <f t="shared" si="3"/>
        <v>1</v>
      </c>
      <c r="AB15" s="1485">
        <f t="shared" si="4"/>
        <v>1</v>
      </c>
      <c r="AC15" s="1485">
        <f t="shared" si="5"/>
        <v>1</v>
      </c>
    </row>
    <row r="16" spans="1:29" ht="15">
      <c r="A16" s="387"/>
      <c r="B16" s="586"/>
      <c r="C16" s="406"/>
      <c r="D16" s="407"/>
      <c r="E16" s="2037"/>
      <c r="F16" s="407"/>
      <c r="G16" s="2037"/>
      <c r="H16" s="409"/>
      <c r="I16" s="2037"/>
      <c r="J16" s="407"/>
      <c r="K16" s="628"/>
      <c r="L16" s="2897"/>
      <c r="M16" s="2891"/>
      <c r="N16" s="2891"/>
      <c r="O16" s="2949"/>
      <c r="P16" s="3483"/>
      <c r="Q16" s="1484"/>
      <c r="R16" s="714"/>
      <c r="S16" s="715"/>
      <c r="T16" s="714"/>
      <c r="U16" s="715"/>
      <c r="V16" s="714"/>
      <c r="W16" s="715"/>
      <c r="X16" s="1487"/>
      <c r="Y16" s="3483"/>
      <c r="Z16" s="1488"/>
      <c r="AA16" s="1485">
        <v>1</v>
      </c>
      <c r="AB16" s="1485">
        <v>1</v>
      </c>
      <c r="AC16" s="1485">
        <v>1</v>
      </c>
    </row>
    <row r="17" spans="1:29" ht="85.5">
      <c r="A17" s="387"/>
      <c r="B17" s="587" t="s">
        <v>2289</v>
      </c>
      <c r="C17" s="203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83"/>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1485">
        <f t="shared" si="5"/>
        <v>1</v>
      </c>
    </row>
    <row r="18" spans="1:29" ht="15">
      <c r="A18" s="387"/>
      <c r="B18" s="588"/>
      <c r="C18" s="406"/>
      <c r="D18" s="407"/>
      <c r="E18" s="2031"/>
      <c r="F18" s="407"/>
      <c r="G18" s="2031"/>
      <c r="H18" s="407"/>
      <c r="I18" s="2030"/>
      <c r="J18" s="407"/>
      <c r="K18" s="628"/>
      <c r="L18" s="2897"/>
      <c r="M18" s="2891"/>
      <c r="N18" s="2891"/>
      <c r="O18" s="2949"/>
      <c r="P18" s="3483"/>
      <c r="Q18" s="1484"/>
      <c r="R18" s="714"/>
      <c r="S18" s="715"/>
      <c r="T18" s="714"/>
      <c r="U18" s="715"/>
      <c r="V18" s="714"/>
      <c r="W18" s="715"/>
      <c r="X18" s="1487"/>
      <c r="Y18" s="3483"/>
      <c r="Z18" s="1488"/>
      <c r="AA18" s="1485">
        <v>1</v>
      </c>
      <c r="AB18" s="1485">
        <v>1</v>
      </c>
      <c r="AC18" s="1485">
        <v>1</v>
      </c>
    </row>
    <row r="19" spans="1:29" ht="15">
      <c r="A19" s="387"/>
      <c r="B19" s="587" t="s">
        <v>2328</v>
      </c>
      <c r="C19" s="203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83"/>
      <c r="Q19" s="1484" t="str">
        <f t="shared" ref="Q19:Q33" si="8">B19</f>
        <v>区域土地利用方向</v>
      </c>
      <c r="R19" s="714" t="s">
        <v>17</v>
      </c>
      <c r="S19" s="715">
        <f>F19</f>
        <v>100</v>
      </c>
      <c r="T19" s="714" t="s">
        <v>17</v>
      </c>
      <c r="U19" s="715">
        <f>H19</f>
        <v>100</v>
      </c>
      <c r="V19" s="714" t="s">
        <v>17</v>
      </c>
      <c r="W19" s="715">
        <f>J19</f>
        <v>100</v>
      </c>
      <c r="X19" s="1487"/>
      <c r="Y19" s="3483"/>
      <c r="Z19" s="1488" t="str">
        <f>Q19</f>
        <v>区域土地利用方向</v>
      </c>
      <c r="AA19" s="1485">
        <f t="shared" si="3"/>
        <v>1</v>
      </c>
      <c r="AB19" s="1485">
        <f t="shared" si="4"/>
        <v>1</v>
      </c>
      <c r="AC19" s="1485">
        <f t="shared" si="5"/>
        <v>1</v>
      </c>
    </row>
    <row r="20" spans="1:29" ht="15">
      <c r="A20" s="364"/>
      <c r="B20" s="588"/>
      <c r="C20" s="406"/>
      <c r="D20" s="407"/>
      <c r="E20" s="2031"/>
      <c r="F20" s="407"/>
      <c r="G20" s="2031"/>
      <c r="H20" s="407"/>
      <c r="I20" s="2031"/>
      <c r="J20" s="407"/>
      <c r="K20" s="748"/>
      <c r="L20" s="2897"/>
      <c r="M20" s="2891"/>
      <c r="N20" s="2891"/>
      <c r="O20" s="2949"/>
      <c r="P20" s="3483"/>
      <c r="Q20" s="1484"/>
      <c r="R20" s="714"/>
      <c r="S20" s="715"/>
      <c r="T20" s="714"/>
      <c r="U20" s="715"/>
      <c r="V20" s="714"/>
      <c r="W20" s="715"/>
      <c r="X20" s="1487"/>
      <c r="Y20" s="3483"/>
      <c r="Z20" s="1488"/>
      <c r="AA20" s="1485"/>
      <c r="AB20" s="1485"/>
      <c r="AC20" s="1485"/>
    </row>
    <row r="21" spans="1:29" ht="71.25">
      <c r="A21" s="364"/>
      <c r="B21" s="587" t="s">
        <v>2378</v>
      </c>
      <c r="C21" s="203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83"/>
      <c r="Q21" s="1484" t="str">
        <f t="shared" si="8"/>
        <v>环境状况</v>
      </c>
      <c r="R21" s="714" t="s">
        <v>17</v>
      </c>
      <c r="S21" s="715">
        <f>F21</f>
        <v>100</v>
      </c>
      <c r="T21" s="714" t="s">
        <v>17</v>
      </c>
      <c r="U21" s="715">
        <f>H21</f>
        <v>100</v>
      </c>
      <c r="V21" s="714" t="s">
        <v>17</v>
      </c>
      <c r="W21" s="715">
        <f>J21</f>
        <v>100</v>
      </c>
      <c r="X21" s="1487"/>
      <c r="Y21" s="3483"/>
      <c r="Z21" s="1488" t="str">
        <f>Q21</f>
        <v>环境状况</v>
      </c>
      <c r="AA21" s="1485">
        <f t="shared" si="3"/>
        <v>1</v>
      </c>
      <c r="AB21" s="1485">
        <f t="shared" si="4"/>
        <v>1</v>
      </c>
      <c r="AC21" s="1485">
        <f t="shared" si="5"/>
        <v>1</v>
      </c>
    </row>
    <row r="22" spans="1:29" ht="15">
      <c r="A22" s="364"/>
      <c r="B22" s="588"/>
      <c r="C22" s="406"/>
      <c r="D22" s="407"/>
      <c r="E22" s="2037"/>
      <c r="F22" s="407"/>
      <c r="G22" s="2037"/>
      <c r="H22" s="407"/>
      <c r="I22" s="406"/>
      <c r="J22" s="407"/>
      <c r="K22" s="628"/>
      <c r="L22" s="2897"/>
      <c r="M22" s="2891"/>
      <c r="N22" s="2891"/>
      <c r="O22" s="2949"/>
      <c r="P22" s="3483"/>
      <c r="Q22" s="1484"/>
      <c r="R22" s="714"/>
      <c r="S22" s="715"/>
      <c r="T22" s="714"/>
      <c r="U22" s="715"/>
      <c r="V22" s="714"/>
      <c r="W22" s="715"/>
      <c r="X22" s="1487"/>
      <c r="Y22" s="3483"/>
      <c r="Z22" s="1488"/>
      <c r="AA22" s="1485">
        <v>1</v>
      </c>
      <c r="AB22" s="1485">
        <v>1</v>
      </c>
      <c r="AC22" s="1485">
        <v>1</v>
      </c>
    </row>
    <row r="23" spans="1:29" s="113" customFormat="1" ht="42.75">
      <c r="A23" s="605"/>
      <c r="B23" s="589" t="s">
        <v>2234</v>
      </c>
      <c r="C23" s="203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83"/>
      <c r="Q23" s="1475" t="str">
        <f t="shared" si="8"/>
        <v>公共配套设施</v>
      </c>
      <c r="R23" s="710" t="s">
        <v>17</v>
      </c>
      <c r="S23" s="711">
        <f>F23</f>
        <v>100</v>
      </c>
      <c r="T23" s="710" t="s">
        <v>17</v>
      </c>
      <c r="U23" s="711">
        <f>H23</f>
        <v>100</v>
      </c>
      <c r="V23" s="710" t="s">
        <v>17</v>
      </c>
      <c r="W23" s="711">
        <f>J23</f>
        <v>100</v>
      </c>
      <c r="X23" s="712"/>
      <c r="Y23" s="3483"/>
      <c r="Z23" s="55" t="str">
        <f>Q23</f>
        <v>公共配套设施</v>
      </c>
      <c r="AA23" s="1485">
        <f>D23/F23</f>
        <v>1</v>
      </c>
      <c r="AB23" s="1485">
        <f>D23/H23</f>
        <v>1</v>
      </c>
      <c r="AC23" s="1485">
        <f>D23/J23</f>
        <v>1</v>
      </c>
    </row>
    <row r="24" spans="1:29" s="113" customFormat="1" ht="15">
      <c r="A24" s="605"/>
      <c r="B24" s="588"/>
      <c r="C24" s="2111"/>
      <c r="D24" s="407"/>
      <c r="E24" s="2037"/>
      <c r="F24" s="407"/>
      <c r="G24" s="2037"/>
      <c r="H24" s="407"/>
      <c r="I24" s="406"/>
      <c r="J24" s="407"/>
      <c r="K24" s="628"/>
      <c r="L24" s="2892"/>
      <c r="M24" s="2893"/>
      <c r="N24" s="2893"/>
      <c r="O24" s="2947"/>
      <c r="P24" s="3483"/>
      <c r="Q24" s="1475"/>
      <c r="R24" s="710"/>
      <c r="S24" s="711"/>
      <c r="T24" s="710"/>
      <c r="U24" s="711"/>
      <c r="V24" s="710"/>
      <c r="W24" s="711"/>
      <c r="X24" s="712"/>
      <c r="Y24" s="3483"/>
      <c r="Z24" s="55"/>
      <c r="AA24" s="713">
        <v>1</v>
      </c>
      <c r="AB24" s="713">
        <v>1</v>
      </c>
      <c r="AC24" s="713">
        <v>1</v>
      </c>
    </row>
    <row r="25" spans="1:29" s="113" customFormat="1" ht="28.5">
      <c r="A25" s="605"/>
      <c r="B25" s="589" t="s">
        <v>2235</v>
      </c>
      <c r="C25" s="203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83"/>
      <c r="Q25" s="1475" t="str">
        <f t="shared" ref="Q25" si="9">B25</f>
        <v>基础设施水平</v>
      </c>
      <c r="R25" s="710" t="s">
        <v>17</v>
      </c>
      <c r="S25" s="711">
        <f>F25</f>
        <v>100</v>
      </c>
      <c r="T25" s="710" t="s">
        <v>17</v>
      </c>
      <c r="U25" s="711">
        <f>H25</f>
        <v>100</v>
      </c>
      <c r="V25" s="710" t="s">
        <v>17</v>
      </c>
      <c r="W25" s="711">
        <f>J25</f>
        <v>100</v>
      </c>
      <c r="X25" s="712"/>
      <c r="Y25" s="3483"/>
      <c r="Z25" s="55" t="str">
        <f>Q25</f>
        <v>基础设施水平</v>
      </c>
      <c r="AA25" s="1485">
        <f>D25/F25</f>
        <v>1</v>
      </c>
      <c r="AB25" s="1485">
        <f>D25/H25</f>
        <v>1</v>
      </c>
      <c r="AC25" s="1485">
        <f>D25/J25</f>
        <v>1</v>
      </c>
    </row>
    <row r="26" spans="1:29" s="113" customFormat="1" ht="15">
      <c r="A26" s="605"/>
      <c r="B26" s="588"/>
      <c r="C26" s="2111"/>
      <c r="D26" s="407"/>
      <c r="E26" s="2112"/>
      <c r="F26" s="407"/>
      <c r="G26" s="2112"/>
      <c r="H26" s="407"/>
      <c r="I26" s="2112"/>
      <c r="J26" s="407"/>
      <c r="K26" s="628"/>
      <c r="L26" s="2892"/>
      <c r="M26" s="2893"/>
      <c r="N26" s="2893"/>
      <c r="O26" s="2947"/>
      <c r="P26" s="3483"/>
      <c r="Q26" s="1475"/>
      <c r="R26" s="710"/>
      <c r="S26" s="711"/>
      <c r="T26" s="710"/>
      <c r="U26" s="711"/>
      <c r="V26" s="710"/>
      <c r="W26" s="711"/>
      <c r="X26" s="712"/>
      <c r="Y26" s="348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83"/>
      <c r="Q27" s="1484" t="str">
        <f t="shared" si="8"/>
        <v>临街状况</v>
      </c>
      <c r="R27" s="714" t="s">
        <v>17</v>
      </c>
      <c r="S27" s="715">
        <f t="shared" ref="S27:S40" si="10">F27</f>
        <v>100</v>
      </c>
      <c r="T27" s="714" t="s">
        <v>17</v>
      </c>
      <c r="U27" s="715">
        <f t="shared" ref="U27:U40" si="11">H27</f>
        <v>100</v>
      </c>
      <c r="V27" s="714" t="s">
        <v>17</v>
      </c>
      <c r="W27" s="715">
        <f t="shared" ref="W27:W40" si="12">J27</f>
        <v>100</v>
      </c>
      <c r="X27" s="1487"/>
      <c r="Y27" s="3483"/>
      <c r="Z27" s="1488" t="str">
        <f t="shared" ref="Z27:Z40" si="13">Q27</f>
        <v>临街状况</v>
      </c>
      <c r="AA27" s="1485">
        <f t="shared" si="3"/>
        <v>1</v>
      </c>
      <c r="AB27" s="1485">
        <f t="shared" si="4"/>
        <v>1</v>
      </c>
      <c r="AC27" s="1485">
        <f t="shared" si="5"/>
        <v>1</v>
      </c>
    </row>
    <row r="28" spans="1:29" ht="27">
      <c r="A28" s="387"/>
      <c r="B28" s="589" t="s">
        <v>2271</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83"/>
      <c r="Q28" s="1484" t="str">
        <f t="shared" si="8"/>
        <v>毗邻道路的类型与等级</v>
      </c>
      <c r="R28" s="714" t="s">
        <v>17</v>
      </c>
      <c r="S28" s="715">
        <f t="shared" si="10"/>
        <v>100</v>
      </c>
      <c r="T28" s="714" t="s">
        <v>17</v>
      </c>
      <c r="U28" s="715">
        <f t="shared" si="11"/>
        <v>100</v>
      </c>
      <c r="V28" s="714" t="s">
        <v>17</v>
      </c>
      <c r="W28" s="715">
        <f t="shared" si="12"/>
        <v>100</v>
      </c>
      <c r="X28" s="1487"/>
      <c r="Y28" s="3483"/>
      <c r="Z28" s="1488" t="str">
        <f t="shared" si="13"/>
        <v>毗邻道路的类型与等级</v>
      </c>
      <c r="AA28" s="1485">
        <f t="shared" si="3"/>
        <v>1</v>
      </c>
      <c r="AB28" s="1485">
        <f t="shared" si="4"/>
        <v>1</v>
      </c>
      <c r="AC28" s="1485">
        <f t="shared" si="5"/>
        <v>1</v>
      </c>
    </row>
    <row r="29" spans="1:29" ht="15">
      <c r="A29" s="387"/>
      <c r="B29" s="588"/>
      <c r="C29" s="406"/>
      <c r="D29" s="407"/>
      <c r="E29" s="2037"/>
      <c r="F29" s="407"/>
      <c r="G29" s="2037"/>
      <c r="H29" s="407"/>
      <c r="I29" s="2037"/>
      <c r="J29" s="407"/>
      <c r="K29" s="570"/>
      <c r="L29" s="2897"/>
      <c r="M29" s="2891"/>
      <c r="N29" s="2891"/>
      <c r="O29" s="2949"/>
      <c r="P29" s="3483"/>
      <c r="Q29" s="1484"/>
      <c r="R29" s="714"/>
      <c r="S29" s="715"/>
      <c r="T29" s="714"/>
      <c r="U29" s="715"/>
      <c r="V29" s="714"/>
      <c r="W29" s="715"/>
      <c r="X29" s="1487"/>
      <c r="Y29" s="3483"/>
      <c r="Z29" s="1488"/>
      <c r="AA29" s="1485">
        <v>1</v>
      </c>
      <c r="AB29" s="1485">
        <v>1</v>
      </c>
      <c r="AC29" s="1485">
        <v>1</v>
      </c>
    </row>
    <row r="30" spans="1:29" ht="15">
      <c r="A30" s="387"/>
      <c r="B30" s="610" t="s">
        <v>2330</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83"/>
      <c r="Q30" s="1484" t="str">
        <f t="shared" si="8"/>
        <v>土地级别</v>
      </c>
      <c r="R30" s="714" t="s">
        <v>17</v>
      </c>
      <c r="S30" s="715">
        <f t="shared" si="10"/>
        <v>100</v>
      </c>
      <c r="T30" s="714" t="s">
        <v>17</v>
      </c>
      <c r="U30" s="715">
        <f t="shared" si="11"/>
        <v>100</v>
      </c>
      <c r="V30" s="714" t="s">
        <v>17</v>
      </c>
      <c r="W30" s="715">
        <f t="shared" si="12"/>
        <v>100</v>
      </c>
      <c r="X30" s="1487"/>
      <c r="Y30" s="3483"/>
      <c r="Z30" s="1488" t="str">
        <f t="shared" si="13"/>
        <v>土地级别</v>
      </c>
      <c r="AA30" s="1485">
        <f t="shared" si="3"/>
        <v>1</v>
      </c>
      <c r="AB30" s="1485">
        <f t="shared" si="4"/>
        <v>1</v>
      </c>
      <c r="AC30" s="1485">
        <f t="shared" si="5"/>
        <v>1</v>
      </c>
    </row>
    <row r="31" spans="1:29" ht="15">
      <c r="A31" s="364"/>
      <c r="B31" s="209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83"/>
      <c r="Q31" s="1484">
        <f t="shared" si="8"/>
        <v>111</v>
      </c>
      <c r="R31" s="714" t="s">
        <v>17</v>
      </c>
      <c r="S31" s="715">
        <f t="shared" si="10"/>
        <v>100</v>
      </c>
      <c r="T31" s="714" t="s">
        <v>17</v>
      </c>
      <c r="U31" s="715">
        <f t="shared" si="11"/>
        <v>100</v>
      </c>
      <c r="V31" s="714" t="s">
        <v>17</v>
      </c>
      <c r="W31" s="715">
        <f t="shared" si="12"/>
        <v>100</v>
      </c>
      <c r="X31" s="1487"/>
      <c r="Y31" s="3483"/>
      <c r="Z31" s="1488">
        <f t="shared" si="13"/>
        <v>111</v>
      </c>
      <c r="AA31" s="1485">
        <f t="shared" si="3"/>
        <v>1</v>
      </c>
      <c r="AB31" s="1485">
        <f t="shared" si="4"/>
        <v>1</v>
      </c>
      <c r="AC31" s="1485">
        <f t="shared" si="5"/>
        <v>1</v>
      </c>
    </row>
    <row r="32" spans="1:29" ht="15">
      <c r="A32" s="631"/>
      <c r="B32" s="212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499" t="s">
        <v>2145</v>
      </c>
      <c r="Q32" s="1484">
        <f t="shared" si="8"/>
        <v>111</v>
      </c>
      <c r="R32" s="714" t="s">
        <v>17</v>
      </c>
      <c r="S32" s="715">
        <f t="shared" si="10"/>
        <v>100</v>
      </c>
      <c r="T32" s="714" t="s">
        <v>17</v>
      </c>
      <c r="U32" s="715">
        <f t="shared" si="11"/>
        <v>100</v>
      </c>
      <c r="V32" s="714" t="s">
        <v>17</v>
      </c>
      <c r="W32" s="715">
        <f t="shared" si="12"/>
        <v>100</v>
      </c>
      <c r="X32" s="1487"/>
      <c r="Y32" s="3484" t="s">
        <v>2145</v>
      </c>
      <c r="Z32" s="1488">
        <f t="shared" si="13"/>
        <v>111</v>
      </c>
      <c r="AA32" s="1485">
        <f t="shared" si="3"/>
        <v>1</v>
      </c>
      <c r="AB32" s="1485">
        <f t="shared" si="4"/>
        <v>1</v>
      </c>
      <c r="AC32" s="1485">
        <f t="shared" si="5"/>
        <v>1</v>
      </c>
    </row>
    <row r="33" spans="1:31" s="430" customFormat="1" ht="15.75" thickBot="1">
      <c r="A33" s="632"/>
      <c r="B33" s="212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84"/>
      <c r="Q33" s="1484">
        <f t="shared" si="8"/>
        <v>111</v>
      </c>
      <c r="R33" s="717" t="s">
        <v>17</v>
      </c>
      <c r="S33" s="718">
        <f t="shared" si="10"/>
        <v>100</v>
      </c>
      <c r="T33" s="717" t="s">
        <v>17</v>
      </c>
      <c r="U33" s="718">
        <f t="shared" si="11"/>
        <v>100</v>
      </c>
      <c r="V33" s="717" t="s">
        <v>17</v>
      </c>
      <c r="W33" s="718">
        <f t="shared" si="12"/>
        <v>100</v>
      </c>
      <c r="X33" s="719"/>
      <c r="Y33" s="3484"/>
      <c r="Z33" s="720">
        <f t="shared" si="13"/>
        <v>111</v>
      </c>
      <c r="AA33" s="1485">
        <f t="shared" si="3"/>
        <v>1</v>
      </c>
      <c r="AB33" s="1485">
        <f t="shared" si="4"/>
        <v>1</v>
      </c>
      <c r="AC33" s="1485">
        <f t="shared" si="5"/>
        <v>1</v>
      </c>
    </row>
    <row r="34" spans="1:31" ht="15">
      <c r="A34" s="399" t="s">
        <v>2143</v>
      </c>
      <c r="B34" s="415" t="s">
        <v>2331</v>
      </c>
      <c r="C34" s="635">
        <f>'数据-汇总表'!D3</f>
        <v>0</v>
      </c>
      <c r="D34" s="426">
        <v>100</v>
      </c>
      <c r="E34" s="635" t="e">
        <f>#REF!</f>
        <v>#REF!</v>
      </c>
      <c r="F34" s="426" t="e">
        <f>LOOKUP(E34,108:108,109:109)-LOOKUP(C34,108:108,109:109)+100</f>
        <v>#REF!</v>
      </c>
      <c r="G34" s="635" t="e">
        <f>#REF!</f>
        <v>#REF!</v>
      </c>
      <c r="H34" s="426" t="e">
        <f>LOOKUP(G34,108:108,109:109)-LOOKUP(C34,108:108,109:109)+100</f>
        <v>#REF!</v>
      </c>
      <c r="I34" s="487" t="e">
        <f>#REF!</f>
        <v>#REF!</v>
      </c>
      <c r="J34" s="426" t="e">
        <f>LOOKUP(I34,108:108,109:109)-LOOKUP(C34,108:108,109:109)+100</f>
        <v>#REF!</v>
      </c>
      <c r="K34" s="570"/>
      <c r="L34" s="2897"/>
      <c r="M34" s="2891"/>
      <c r="N34" s="2891"/>
      <c r="O34" s="2949"/>
      <c r="P34" s="3484"/>
      <c r="Q34" s="1484" t="str">
        <f>B34</f>
        <v>宗地面积</v>
      </c>
      <c r="R34" s="714" t="s">
        <v>17</v>
      </c>
      <c r="S34" s="715" t="e">
        <f t="shared" si="10"/>
        <v>#REF!</v>
      </c>
      <c r="T34" s="714" t="s">
        <v>17</v>
      </c>
      <c r="U34" s="715" t="e">
        <f t="shared" si="11"/>
        <v>#REF!</v>
      </c>
      <c r="V34" s="714" t="s">
        <v>17</v>
      </c>
      <c r="W34" s="715" t="e">
        <f t="shared" si="12"/>
        <v>#REF!</v>
      </c>
      <c r="X34" s="1487"/>
      <c r="Y34" s="3484"/>
      <c r="Z34" s="1488" t="str">
        <f t="shared" si="13"/>
        <v>宗地面积</v>
      </c>
      <c r="AA34" s="1485" t="e">
        <f t="shared" si="3"/>
        <v>#REF!</v>
      </c>
      <c r="AB34" s="1485" t="e">
        <f t="shared" si="4"/>
        <v>#REF!</v>
      </c>
      <c r="AC34" s="1485" t="e">
        <f t="shared" si="5"/>
        <v>#REF!</v>
      </c>
    </row>
    <row r="35" spans="1:31" ht="15">
      <c r="A35" s="431"/>
      <c r="B35" s="381" t="s">
        <v>2332</v>
      </c>
      <c r="C35" s="2039"/>
      <c r="D35" s="394">
        <v>100</v>
      </c>
      <c r="E35" s="2039"/>
      <c r="F35" s="394">
        <f>SUMIF(110:110,E35,111:111)-SUMIF(110:110,C35,111:111)+100</f>
        <v>100</v>
      </c>
      <c r="G35" s="2039"/>
      <c r="H35" s="394">
        <f>SUMIF(110:110,G35,111:111)-SUMIF(110:110,C35,111:111)+100</f>
        <v>100</v>
      </c>
      <c r="I35" s="2039"/>
      <c r="J35" s="394">
        <f>SUMIF(110:110,I35,111:111)-SUMIF(110:110,C35,111:111)+100</f>
        <v>100</v>
      </c>
      <c r="K35" s="569"/>
      <c r="L35" s="2897"/>
      <c r="M35" s="2891"/>
      <c r="N35" s="2891"/>
      <c r="O35" s="2949"/>
      <c r="P35" s="3484"/>
      <c r="Q35" s="1484" t="str">
        <f t="shared" ref="Q35:Q40" si="14">B35</f>
        <v>宗地形状</v>
      </c>
      <c r="R35" s="714" t="s">
        <v>17</v>
      </c>
      <c r="S35" s="715">
        <f t="shared" si="10"/>
        <v>100</v>
      </c>
      <c r="T35" s="714" t="s">
        <v>17</v>
      </c>
      <c r="U35" s="715">
        <f t="shared" si="11"/>
        <v>100</v>
      </c>
      <c r="V35" s="714" t="s">
        <v>17</v>
      </c>
      <c r="W35" s="715">
        <f t="shared" si="12"/>
        <v>100</v>
      </c>
      <c r="X35" s="1487"/>
      <c r="Y35" s="3484"/>
      <c r="Z35" s="1488" t="str">
        <f t="shared" si="13"/>
        <v>宗地形状</v>
      </c>
      <c r="AA35" s="1485">
        <f t="shared" si="3"/>
        <v>1</v>
      </c>
      <c r="AB35" s="1485">
        <f t="shared" si="4"/>
        <v>1</v>
      </c>
      <c r="AC35" s="1485">
        <f t="shared" si="5"/>
        <v>1</v>
      </c>
    </row>
    <row r="36" spans="1:31" s="113" customFormat="1" ht="15">
      <c r="A36" s="432"/>
      <c r="B36" s="381" t="s">
        <v>2334</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2"/>
      <c r="M36" s="2893"/>
      <c r="N36" s="2893"/>
      <c r="O36" s="2947"/>
      <c r="P36" s="3484"/>
      <c r="Q36" s="1484" t="str">
        <f t="shared" si="14"/>
        <v>宗地开发程度</v>
      </c>
      <c r="R36" s="710" t="s">
        <v>17</v>
      </c>
      <c r="S36" s="711">
        <f t="shared" si="10"/>
        <v>100</v>
      </c>
      <c r="T36" s="710" t="s">
        <v>17</v>
      </c>
      <c r="U36" s="711">
        <f t="shared" si="11"/>
        <v>100</v>
      </c>
      <c r="V36" s="710" t="s">
        <v>17</v>
      </c>
      <c r="W36" s="711">
        <f t="shared" si="12"/>
        <v>100</v>
      </c>
      <c r="X36" s="712"/>
      <c r="Y36" s="3484"/>
      <c r="Z36" s="55" t="str">
        <f t="shared" si="13"/>
        <v>宗地开发程度</v>
      </c>
      <c r="AA36" s="713">
        <f t="shared" si="3"/>
        <v>1</v>
      </c>
      <c r="AB36" s="713">
        <f t="shared" si="4"/>
        <v>1</v>
      </c>
      <c r="AC36" s="713">
        <f t="shared" si="5"/>
        <v>1</v>
      </c>
    </row>
    <row r="37" spans="1:31" ht="15">
      <c r="A37" s="431"/>
      <c r="B37" s="381" t="s">
        <v>2335</v>
      </c>
      <c r="C37" s="2039"/>
      <c r="D37" s="394">
        <v>100</v>
      </c>
      <c r="E37" s="2039"/>
      <c r="F37" s="394">
        <f>SUMIF(114:114,E37,115:115)-SUMIF(114:114,C37,115:115)+100</f>
        <v>100</v>
      </c>
      <c r="G37" s="2039"/>
      <c r="H37" s="394">
        <f>SUMIF(114:114,G37,115:115)-SUMIF(114:114,C37,115:115)+100</f>
        <v>100</v>
      </c>
      <c r="I37" s="2039"/>
      <c r="J37" s="394">
        <f>SUMIF(114:114,I37,115:115)-SUMIF(114:114,C37,115:115)+100</f>
        <v>100</v>
      </c>
      <c r="K37" s="569"/>
      <c r="L37" s="2897"/>
      <c r="M37" s="2891"/>
      <c r="N37" s="2891"/>
      <c r="O37" s="2949"/>
      <c r="P37" s="3484" t="s">
        <v>2145</v>
      </c>
      <c r="Q37" s="1484" t="str">
        <f t="shared" si="14"/>
        <v>工程地质条件</v>
      </c>
      <c r="R37" s="714" t="s">
        <v>17</v>
      </c>
      <c r="S37" s="715">
        <f t="shared" si="10"/>
        <v>100</v>
      </c>
      <c r="T37" s="714" t="s">
        <v>17</v>
      </c>
      <c r="U37" s="715">
        <f t="shared" si="11"/>
        <v>100</v>
      </c>
      <c r="V37" s="714" t="s">
        <v>17</v>
      </c>
      <c r="W37" s="715">
        <f t="shared" si="12"/>
        <v>100</v>
      </c>
      <c r="X37" s="1487"/>
      <c r="Y37" s="3484" t="s">
        <v>2145</v>
      </c>
      <c r="Z37" s="1488" t="str">
        <f t="shared" si="13"/>
        <v>工程地质条件</v>
      </c>
      <c r="AA37" s="1485">
        <f t="shared" si="3"/>
        <v>1</v>
      </c>
      <c r="AB37" s="1485">
        <f t="shared" si="4"/>
        <v>1</v>
      </c>
      <c r="AC37" s="1485">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84"/>
      <c r="Q38" s="1484">
        <f t="shared" si="14"/>
        <v>111</v>
      </c>
      <c r="R38" s="714" t="s">
        <v>17</v>
      </c>
      <c r="S38" s="715">
        <f t="shared" si="10"/>
        <v>100</v>
      </c>
      <c r="T38" s="714" t="s">
        <v>17</v>
      </c>
      <c r="U38" s="715">
        <f t="shared" si="11"/>
        <v>100</v>
      </c>
      <c r="V38" s="714" t="s">
        <v>17</v>
      </c>
      <c r="W38" s="715">
        <f t="shared" si="12"/>
        <v>100</v>
      </c>
      <c r="X38" s="1487"/>
      <c r="Y38" s="3484"/>
      <c r="Z38" s="1488">
        <f t="shared" si="13"/>
        <v>111</v>
      </c>
      <c r="AA38" s="1485">
        <f t="shared" si="3"/>
        <v>1</v>
      </c>
      <c r="AB38" s="1485">
        <f t="shared" si="4"/>
        <v>1</v>
      </c>
      <c r="AC38" s="1485">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84"/>
      <c r="Q39" s="1484">
        <f t="shared" si="14"/>
        <v>111</v>
      </c>
      <c r="R39" s="714" t="s">
        <v>17</v>
      </c>
      <c r="S39" s="715">
        <f t="shared" si="10"/>
        <v>100</v>
      </c>
      <c r="T39" s="714" t="s">
        <v>17</v>
      </c>
      <c r="U39" s="715">
        <f t="shared" si="11"/>
        <v>100</v>
      </c>
      <c r="V39" s="714" t="s">
        <v>17</v>
      </c>
      <c r="W39" s="715">
        <f t="shared" si="12"/>
        <v>100</v>
      </c>
      <c r="X39" s="1487"/>
      <c r="Y39" s="3484"/>
      <c r="Z39" s="1488">
        <f t="shared" si="13"/>
        <v>111</v>
      </c>
      <c r="AA39" s="1485">
        <f t="shared" si="3"/>
        <v>1</v>
      </c>
      <c r="AB39" s="1485">
        <f t="shared" si="4"/>
        <v>1</v>
      </c>
      <c r="AC39" s="1485">
        <f t="shared" si="5"/>
        <v>1</v>
      </c>
    </row>
    <row r="40" spans="1:31" s="430" customFormat="1" ht="15.75" thickBot="1">
      <c r="A40" s="427"/>
      <c r="B40" s="1246">
        <v>111</v>
      </c>
      <c r="C40" s="2114"/>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84"/>
      <c r="Q40" s="1484">
        <f t="shared" si="14"/>
        <v>111</v>
      </c>
      <c r="R40" s="717" t="s">
        <v>17</v>
      </c>
      <c r="S40" s="718">
        <f t="shared" si="10"/>
        <v>100</v>
      </c>
      <c r="T40" s="717" t="s">
        <v>17</v>
      </c>
      <c r="U40" s="718">
        <f t="shared" si="11"/>
        <v>100</v>
      </c>
      <c r="V40" s="717" t="s">
        <v>17</v>
      </c>
      <c r="W40" s="718">
        <f t="shared" si="12"/>
        <v>100</v>
      </c>
      <c r="X40" s="719"/>
      <c r="Y40" s="3484"/>
      <c r="Z40" s="720">
        <f t="shared" si="13"/>
        <v>111</v>
      </c>
      <c r="AA40" s="1485">
        <f t="shared" si="3"/>
        <v>1</v>
      </c>
      <c r="AB40" s="1485">
        <f t="shared" si="4"/>
        <v>1</v>
      </c>
      <c r="AC40" s="1485">
        <f t="shared" si="5"/>
        <v>1</v>
      </c>
    </row>
    <row r="41" spans="1:31" ht="15">
      <c r="A41" s="438" t="s">
        <v>2300</v>
      </c>
      <c r="B41" s="2115" t="s">
        <v>3189</v>
      </c>
      <c r="C41" s="638" t="s">
        <v>1</v>
      </c>
      <c r="D41" s="440"/>
      <c r="E41" s="441" t="e">
        <f>#REF!</f>
        <v>#REF!</v>
      </c>
      <c r="F41" s="442"/>
      <c r="G41" s="443" t="e">
        <f>#REF!</f>
        <v>#REF!</v>
      </c>
      <c r="H41" s="444"/>
      <c r="I41" s="441" t="e">
        <f>#REF!</f>
        <v>#REF!</v>
      </c>
      <c r="J41" s="444"/>
      <c r="K41" s="723"/>
      <c r="L41" s="2899"/>
      <c r="M41" s="2891"/>
      <c r="N41" s="2891"/>
      <c r="O41" s="2900"/>
      <c r="P41" s="3465" t="str">
        <f>A41</f>
        <v>成交单价</v>
      </c>
      <c r="Q41" s="3465"/>
      <c r="R41" s="3481" t="e">
        <f>E41</f>
        <v>#REF!</v>
      </c>
      <c r="S41" s="3481"/>
      <c r="T41" s="3481" t="e">
        <f>G41</f>
        <v>#REF!</v>
      </c>
      <c r="U41" s="3481"/>
      <c r="V41" s="3481" t="e">
        <f>I41</f>
        <v>#REF!</v>
      </c>
      <c r="W41" s="3481"/>
      <c r="X41" s="699"/>
      <c r="Y41" s="721"/>
      <c r="Z41" s="699"/>
      <c r="AA41" s="699"/>
      <c r="AB41" s="699"/>
      <c r="AC41" s="699"/>
    </row>
    <row r="42" spans="1:31" ht="15.75" thickBot="1">
      <c r="A42" s="445" t="s">
        <v>2249</v>
      </c>
      <c r="B42" s="639"/>
      <c r="C42" s="448" t="e">
        <f>R43</f>
        <v>#REF!</v>
      </c>
      <c r="D42" s="2485" t="s">
        <v>2638</v>
      </c>
      <c r="E42" s="448" t="e">
        <f>R42</f>
        <v>#REF!</v>
      </c>
      <c r="F42" s="2486"/>
      <c r="G42" s="447" t="e">
        <f>T42</f>
        <v>#REF!</v>
      </c>
      <c r="H42" s="2486"/>
      <c r="I42" s="448" t="e">
        <f>V42</f>
        <v>#REF!</v>
      </c>
      <c r="J42" s="2486"/>
      <c r="K42" s="2488">
        <f>F42+H42+J42</f>
        <v>0</v>
      </c>
      <c r="L42" s="2899"/>
      <c r="M42" s="2891"/>
      <c r="N42" s="2891"/>
      <c r="O42" s="2900"/>
      <c r="P42" s="3465" t="str">
        <f>A42</f>
        <v>比较价值（元/平方米）</v>
      </c>
      <c r="Q42" s="3465"/>
      <c r="R42" s="3503" t="e">
        <f>ROUND(PRODUCT(R41,AA7:AA40),0)</f>
        <v>#REF!</v>
      </c>
      <c r="S42" s="3503"/>
      <c r="T42" s="3503" t="e">
        <f>ROUND(PRODUCT(T41,AB7:AB40),0)</f>
        <v>#REF!</v>
      </c>
      <c r="U42" s="3503"/>
      <c r="V42" s="3503" t="e">
        <f>ROUND(PRODUCT(V41,AC7:AC40),0)</f>
        <v>#REF!</v>
      </c>
      <c r="W42" s="3503"/>
      <c r="X42" s="699"/>
      <c r="Y42" s="699"/>
      <c r="Z42" s="699"/>
      <c r="AA42" s="699"/>
      <c r="AB42" s="699"/>
      <c r="AC42" s="699"/>
    </row>
    <row r="43" spans="1:31" ht="15.75" thickBot="1">
      <c r="A43" s="449" t="s">
        <v>2250</v>
      </c>
      <c r="B43" s="450"/>
      <c r="C43" s="451" t="e">
        <f>R43</f>
        <v>#REF!</v>
      </c>
      <c r="D43" s="451"/>
      <c r="E43" s="451"/>
      <c r="F43" s="451"/>
      <c r="G43" s="451"/>
      <c r="H43" s="451"/>
      <c r="I43" s="451"/>
      <c r="J43" s="451"/>
      <c r="K43" s="724"/>
      <c r="L43" s="2899"/>
      <c r="M43" s="2891"/>
      <c r="N43" s="2891"/>
      <c r="O43" s="2900"/>
      <c r="P43" s="3500" t="str">
        <f>A43</f>
        <v>估价对象XX用房的比较价值（楼面单价，元/平方米）</v>
      </c>
      <c r="Q43" s="3501"/>
      <c r="R43" s="3502" t="e">
        <f>ROUND(IF(D42="简单平均",AVERAGE(R42:W42),R42*F42+T42*H42+V42*J42),0)</f>
        <v>#REF!</v>
      </c>
      <c r="S43" s="3502"/>
      <c r="T43" s="3502"/>
      <c r="U43" s="3502"/>
      <c r="V43" s="3502"/>
      <c r="W43" s="3502"/>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2251</v>
      </c>
      <c r="D46" s="455"/>
      <c r="E46" s="456" t="e">
        <f>IF(E41&lt;E42,E42/E41-1,E41/E42-1)</f>
        <v>#REF!</v>
      </c>
      <c r="F46" s="457" t="e">
        <f>IF(OR(E46&gt;=0.3,E46&lt;=-0.3),"超过30%","")</f>
        <v>#REF!</v>
      </c>
      <c r="G46" s="456" t="e">
        <f>IF(G41&lt;G42,G42/G41-1,G41/G42-1)</f>
        <v>#REF!</v>
      </c>
      <c r="H46" s="457" t="e">
        <f>IF(OR(G46&gt;=0.3,G46&lt;=-0.3),"超过30%","")</f>
        <v>#REF!</v>
      </c>
      <c r="I46" s="456" t="e">
        <f>IF(I41&lt;I42,I42/I41-1,I41/I42-1)</f>
        <v>#REF!</v>
      </c>
      <c r="J46" s="457" t="e">
        <f>IF(OR(I46&gt;=0.3,I46&lt;=-0.3),"超过30%","")</f>
        <v>#REF!</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2252</v>
      </c>
      <c r="D47" s="458"/>
      <c r="E47" s="456" t="e">
        <f>IF(E42&lt;G42,G42/E42-1,E42/G42-1)</f>
        <v>#REF!</v>
      </c>
      <c r="F47" s="457" t="e">
        <f>IF(OR(E47&gt;=0.2,E47&lt;=-0.2),"超过20%","")</f>
        <v>#REF!</v>
      </c>
      <c r="G47" s="456" t="e">
        <f>IF(G42&lt;I42,I42/G42-1,G42/I42-1)</f>
        <v>#REF!</v>
      </c>
      <c r="H47" s="457" t="e">
        <f>IF(OR(G47&gt;=0.2,G47&lt;=-0.2),"超过20%","")</f>
        <v>#REF!</v>
      </c>
      <c r="I47" s="456" t="e">
        <f>IF(I42&lt;E42,E42/I42-1,I42/E42-1)</f>
        <v>#REF!</v>
      </c>
      <c r="J47" s="457" t="e">
        <f>IF(OR(I47&gt;=0.2,I47&lt;=-0.2),"超过20%","")</f>
        <v>#REF!</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2253</v>
      </c>
      <c r="D48" s="458"/>
      <c r="E48" s="456" t="e">
        <f>IF(E41&lt;G41,G41/E41-1,E41/G41-1)</f>
        <v>#REF!</v>
      </c>
      <c r="F48" s="457" t="e">
        <f>IF(OR(E48&gt;=0.3,E48&lt;=-0.3),"超过30%","")</f>
        <v>#REF!</v>
      </c>
      <c r="G48" s="456" t="e">
        <f>IF(G41&lt;I41,I41/G41-1,G41/I41-1)</f>
        <v>#REF!</v>
      </c>
      <c r="H48" s="457" t="e">
        <f>IF(OR(G48&gt;=0.3,G48&lt;=-0.3),"超过30%","")</f>
        <v>#REF!</v>
      </c>
      <c r="I48" s="456" t="e">
        <f>IF(I41&lt;E41,E41/I41-1,I41/E41-1)</f>
        <v>#REF!</v>
      </c>
      <c r="J48" s="457" t="e">
        <f>IF(OR(I48&gt;=0.3,I48&lt;=-0.3),"超过30%","")</f>
        <v>#REF!</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2338</v>
      </c>
      <c r="B50" s="641" t="s">
        <v>2339</v>
      </c>
      <c r="C50" s="2116" t="s">
        <v>2340</v>
      </c>
      <c r="D50" s="2117" t="s">
        <v>2341</v>
      </c>
      <c r="E50" s="642" t="s">
        <v>2342</v>
      </c>
      <c r="F50" s="643" t="s">
        <v>2343</v>
      </c>
      <c r="G50" s="3462" t="s">
        <v>2344</v>
      </c>
      <c r="H50" s="3463"/>
      <c r="I50" s="1488" t="s">
        <v>2379</v>
      </c>
      <c r="J50" s="1488">
        <f>项目基本情况!F35</f>
        <v>0</v>
      </c>
      <c r="K50" s="2119" t="s">
        <v>2346</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2347</v>
      </c>
      <c r="B51" s="645" t="e">
        <f>C43</f>
        <v>#REF!</v>
      </c>
      <c r="C51" s="646">
        <v>1</v>
      </c>
      <c r="D51" s="1053">
        <v>1</v>
      </c>
      <c r="E51" s="646">
        <f>'数据-汇总表'!E8+'数据-汇总表'!E9</f>
        <v>0</v>
      </c>
      <c r="F51" s="647" t="e">
        <f t="shared" ref="F51:F60" si="15">ROUND(B51*E51/10000,0)</f>
        <v>#REF!</v>
      </c>
      <c r="G51" s="3464"/>
      <c r="H51" s="3465"/>
      <c r="I51" s="857">
        <v>1</v>
      </c>
      <c r="J51" s="857">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2348</v>
      </c>
      <c r="B52" s="224" t="e">
        <f>ROUND($C$43*C52*D52,0)</f>
        <v>#REF!</v>
      </c>
      <c r="C52" s="176">
        <f t="shared" ref="C52:C60" si="16">IF($C$50="北京市系数",I52,J52)</f>
        <v>0</v>
      </c>
      <c r="D52" s="1054">
        <v>0.25</v>
      </c>
      <c r="E52" s="650"/>
      <c r="F52" s="647" t="e">
        <f t="shared" si="15"/>
        <v>#REF!</v>
      </c>
      <c r="G52" s="3224" t="s">
        <v>2349</v>
      </c>
      <c r="H52" s="996">
        <f>项目基本情况!B37</f>
        <v>0</v>
      </c>
      <c r="I52" s="857">
        <f>SUMIF(修正!A57:A68,H52,修正!B57:B68)</f>
        <v>0</v>
      </c>
      <c r="J52" s="858"/>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2350</v>
      </c>
      <c r="B53" s="224" t="e">
        <f t="shared" ref="B53:B60" si="17">ROUND($C$43*C53*D53,0)</f>
        <v>#REF!</v>
      </c>
      <c r="C53" s="176">
        <f t="shared" si="16"/>
        <v>0</v>
      </c>
      <c r="D53" s="1054">
        <v>0.25</v>
      </c>
      <c r="E53" s="650"/>
      <c r="F53" s="647" t="e">
        <f t="shared" si="15"/>
        <v>#REF!</v>
      </c>
      <c r="G53" s="3225"/>
      <c r="H53" s="996">
        <f>项目基本情况!B37</f>
        <v>0</v>
      </c>
      <c r="I53" s="857">
        <f>SUMIF(修正!A57:A68,H53,修正!C57:C68)</f>
        <v>0</v>
      </c>
      <c r="J53" s="858"/>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2351</v>
      </c>
      <c r="B54" s="224" t="e">
        <f t="shared" si="17"/>
        <v>#REF!</v>
      </c>
      <c r="C54" s="176">
        <f t="shared" si="16"/>
        <v>0</v>
      </c>
      <c r="D54" s="1054">
        <v>0.25</v>
      </c>
      <c r="E54" s="650"/>
      <c r="F54" s="647" t="e">
        <f t="shared" si="15"/>
        <v>#REF!</v>
      </c>
      <c r="G54" s="3225"/>
      <c r="H54" s="996">
        <f>项目基本情况!B37</f>
        <v>0</v>
      </c>
      <c r="I54" s="857">
        <f>SUMIF(修正!A57:A68,H54,修正!D57:D68)</f>
        <v>0</v>
      </c>
      <c r="J54" s="858"/>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4"/>
      <c r="E55" s="650"/>
      <c r="F55" s="647"/>
      <c r="G55" s="3226"/>
      <c r="H55" s="996"/>
      <c r="I55" s="857"/>
      <c r="J55" s="858"/>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2352</v>
      </c>
      <c r="B56" s="224" t="e">
        <f t="shared" si="17"/>
        <v>#REF!</v>
      </c>
      <c r="C56" s="176">
        <f t="shared" si="16"/>
        <v>0</v>
      </c>
      <c r="D56" s="1054">
        <v>0.25</v>
      </c>
      <c r="E56" s="223">
        <f>'数据-汇总表'!E11</f>
        <v>0</v>
      </c>
      <c r="F56" s="647" t="e">
        <f t="shared" si="15"/>
        <v>#REF!</v>
      </c>
      <c r="G56" s="2120" t="s">
        <v>2353</v>
      </c>
      <c r="H56" s="996">
        <f>项目基本情况!C37</f>
        <v>0</v>
      </c>
      <c r="I56" s="857">
        <f>SUMIF(修正!A57:A68,H56,修正!E57:E68)</f>
        <v>0</v>
      </c>
      <c r="J56" s="858"/>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2354</v>
      </c>
      <c r="B57" s="224" t="e">
        <f t="shared" si="17"/>
        <v>#REF!</v>
      </c>
      <c r="C57" s="176">
        <f t="shared" si="16"/>
        <v>0</v>
      </c>
      <c r="D57" s="1054">
        <v>0.25</v>
      </c>
      <c r="E57" s="223">
        <f>'数据-汇总表'!E12</f>
        <v>0</v>
      </c>
      <c r="F57" s="647" t="e">
        <f t="shared" si="15"/>
        <v>#REF!</v>
      </c>
      <c r="G57" s="1001" t="s">
        <v>2355</v>
      </c>
      <c r="H57" s="996">
        <f>IF(G57="商业",项目基本情况!B37,IF(G57="办公",项目基本情况!C37,IF(G57="住宅",项目基本情况!D37,项目基本情况!E37)))</f>
        <v>0</v>
      </c>
      <c r="I57" s="857">
        <f>SUMIF(修正!A57:A68,H57,修正!F57:F68)</f>
        <v>0</v>
      </c>
      <c r="J57" s="858"/>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2356</v>
      </c>
      <c r="B58" s="224" t="e">
        <f t="shared" si="17"/>
        <v>#REF!</v>
      </c>
      <c r="C58" s="176">
        <f t="shared" si="16"/>
        <v>0</v>
      </c>
      <c r="D58" s="1054">
        <v>0.25</v>
      </c>
      <c r="E58" s="223">
        <f>'数据-汇总表'!E13</f>
        <v>0</v>
      </c>
      <c r="F58" s="647" t="e">
        <f t="shared" si="15"/>
        <v>#REF!</v>
      </c>
      <c r="G58" s="1001" t="s">
        <v>2357</v>
      </c>
      <c r="H58" s="996">
        <f>IF(G58="商业",项目基本情况!B37,IF(G58="办公",项目基本情况!C37,IF(G58="住宅",项目基本情况!D37,项目基本情况!E37)))</f>
        <v>0</v>
      </c>
      <c r="I58" s="857">
        <f>SUMIF(修正!A57:A68,H58,修正!G57:G68)</f>
        <v>0</v>
      </c>
      <c r="J58" s="858"/>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2358</v>
      </c>
      <c r="B59" s="224" t="e">
        <f t="shared" si="17"/>
        <v>#REF!</v>
      </c>
      <c r="C59" s="176">
        <f t="shared" si="16"/>
        <v>0</v>
      </c>
      <c r="D59" s="1054">
        <v>0.25</v>
      </c>
      <c r="E59" s="223">
        <f>'数据-汇总表'!E14</f>
        <v>0</v>
      </c>
      <c r="F59" s="647" t="e">
        <f t="shared" si="15"/>
        <v>#REF!</v>
      </c>
      <c r="G59" s="2120" t="s">
        <v>2349</v>
      </c>
      <c r="H59" s="996">
        <f>项目基本情况!B37</f>
        <v>0</v>
      </c>
      <c r="I59" s="857">
        <f>SUMIF(修正!A57:A68,H59,修正!G57:G68)</f>
        <v>0</v>
      </c>
      <c r="J59" s="858"/>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2359</v>
      </c>
      <c r="B60" s="224" t="e">
        <f t="shared" si="17"/>
        <v>#REF!</v>
      </c>
      <c r="C60" s="176">
        <f t="shared" si="16"/>
        <v>0</v>
      </c>
      <c r="D60" s="1054">
        <v>0.25</v>
      </c>
      <c r="E60" s="223">
        <f>'数据-汇总表'!E15</f>
        <v>0</v>
      </c>
      <c r="F60" s="647" t="e">
        <f t="shared" si="15"/>
        <v>#REF!</v>
      </c>
      <c r="G60" s="2121" t="s">
        <v>2353</v>
      </c>
      <c r="H60" s="1006">
        <f>项目基本情况!C37</f>
        <v>0</v>
      </c>
      <c r="I60" s="857">
        <f>SUMIF(修正!A57:A68,H60,修正!G57:G68)</f>
        <v>0</v>
      </c>
      <c r="J60" s="858"/>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2360</v>
      </c>
      <c r="B61" s="652" t="s">
        <v>28</v>
      </c>
      <c r="C61" s="652" t="s">
        <v>29</v>
      </c>
      <c r="D61" s="652" t="s">
        <v>816</v>
      </c>
      <c r="E61" s="652">
        <f>IF(B41="楼面地价",SUM(E51:E60),'数据-汇总表'!D3)</f>
        <v>0</v>
      </c>
      <c r="F61" s="653" t="e">
        <f>IF(B41="楼面地价",SUM(F51:F60),ROUND(C43*E61/10000,0))</f>
        <v>#REF!</v>
      </c>
      <c r="G61" s="1048"/>
      <c r="H61" s="1048"/>
      <c r="I61" s="1048"/>
      <c r="J61" s="1048"/>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6"/>
      <c r="B62" s="1038"/>
      <c r="C62" s="1040"/>
      <c r="D62" s="1036"/>
      <c r="E62" s="1036"/>
      <c r="F62" s="1036"/>
      <c r="G62" s="1036"/>
      <c r="H62" s="1036"/>
      <c r="I62" s="1036"/>
      <c r="J62" s="1036"/>
      <c r="K62" s="997"/>
      <c r="L62" s="998"/>
      <c r="M62" s="1036"/>
      <c r="N62" s="1036"/>
      <c r="O62" s="1036"/>
      <c r="P62" s="2900"/>
      <c r="Q62" s="2900"/>
      <c r="R62" s="2900"/>
      <c r="S62" s="2900"/>
      <c r="T62" s="2900"/>
      <c r="U62" s="2900"/>
      <c r="V62" s="2900"/>
      <c r="W62" s="2900"/>
      <c r="X62" s="2900"/>
      <c r="Y62" s="2900"/>
      <c r="Z62" s="2900"/>
      <c r="AA62" s="2900"/>
      <c r="AB62" s="2900"/>
      <c r="AC62" s="2900"/>
      <c r="AD62" s="2900"/>
      <c r="AE62" s="2900"/>
    </row>
    <row r="63" spans="1:31">
      <c r="A63" s="1036"/>
      <c r="B63" s="1038"/>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0"/>
      <c r="Q63" s="2900"/>
      <c r="R63" s="2900"/>
      <c r="S63" s="2900"/>
      <c r="T63" s="2900"/>
      <c r="U63" s="2900"/>
      <c r="V63" s="2900"/>
      <c r="W63" s="2900"/>
      <c r="X63" s="2900"/>
      <c r="Y63" s="2900"/>
      <c r="Z63" s="2900"/>
      <c r="AA63" s="2900"/>
      <c r="AB63" s="2900"/>
      <c r="AC63" s="2900"/>
      <c r="AD63" s="2900"/>
      <c r="AE63" s="2900"/>
    </row>
    <row r="64" spans="1:31" ht="21.75" thickBot="1">
      <c r="A64" s="703" t="s">
        <v>2254</v>
      </c>
      <c r="B64" s="699"/>
      <c r="C64" s="704"/>
      <c r="D64" s="704"/>
      <c r="E64" s="704"/>
      <c r="F64" s="705"/>
      <c r="G64" s="705"/>
      <c r="H64" s="704"/>
      <c r="I64" s="704"/>
      <c r="J64" s="704"/>
      <c r="K64" s="706"/>
      <c r="L64" s="707"/>
      <c r="M64" s="704"/>
      <c r="N64" s="704"/>
      <c r="O64" s="1049"/>
      <c r="P64" s="2944"/>
      <c r="Q64" s="2914"/>
      <c r="R64" s="2900"/>
      <c r="S64" s="2900"/>
      <c r="T64" s="2900"/>
      <c r="U64" s="2900"/>
      <c r="V64" s="2900"/>
      <c r="W64" s="2900"/>
      <c r="X64" s="2900"/>
      <c r="Y64" s="2900"/>
      <c r="Z64" s="2900"/>
      <c r="AA64" s="2900"/>
      <c r="AB64" s="2900"/>
      <c r="AC64" s="2900"/>
      <c r="AD64" s="2900"/>
      <c r="AE64" s="2900"/>
    </row>
    <row r="65" spans="1:31" s="465" customFormat="1" ht="15">
      <c r="A65" s="2122"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27" t="s">
        <v>2380</v>
      </c>
      <c r="B66" s="294" t="str">
        <f>"北京市平均增长率"&amp;TEXT(基准地价修正!P24,"0.00%")</f>
        <v>北京市平均增长率0.00%</v>
      </c>
      <c r="C66" s="560">
        <v>100</v>
      </c>
      <c r="D66" s="552">
        <f>C66-0.2</f>
        <v>99.8</v>
      </c>
      <c r="E66" s="552">
        <f t="shared" ref="E66:M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1290"/>
      <c r="O66" s="1292"/>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2137</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2138</v>
      </c>
      <c r="C74" s="504" t="str">
        <f>C75&amp;"（含）"&amp;"-"&amp;D75</f>
        <v>1（含）-2</v>
      </c>
      <c r="D74" s="504" t="str">
        <f t="shared" ref="D74:L74" si="21">D75&amp;"（含）"&amp;"-"&amp;E75</f>
        <v>2（含）-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v>1</v>
      </c>
      <c r="D75" s="506">
        <v>2</v>
      </c>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101</v>
      </c>
      <c r="E76" s="501">
        <f t="shared" ref="E76:M76" si="22">IF($B$41="单位面积地价",D76+$K11,D76-$K11)</f>
        <v>102</v>
      </c>
      <c r="F76" s="501">
        <f t="shared" si="22"/>
        <v>103</v>
      </c>
      <c r="G76" s="501">
        <f t="shared" si="22"/>
        <v>104</v>
      </c>
      <c r="H76" s="501">
        <f t="shared" si="22"/>
        <v>105</v>
      </c>
      <c r="I76" s="501">
        <f t="shared" si="22"/>
        <v>106</v>
      </c>
      <c r="J76" s="501">
        <f t="shared" si="22"/>
        <v>107</v>
      </c>
      <c r="K76" s="501">
        <f t="shared" si="22"/>
        <v>108</v>
      </c>
      <c r="L76" s="501">
        <f t="shared" si="22"/>
        <v>109</v>
      </c>
      <c r="M76" s="501">
        <f t="shared" si="22"/>
        <v>110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2139</v>
      </c>
      <c r="B83" s="485" t="s">
        <v>2285</v>
      </c>
      <c r="C83" s="530" t="s">
        <v>2177</v>
      </c>
      <c r="D83" s="530" t="s">
        <v>2178</v>
      </c>
      <c r="E83" s="530" t="s">
        <v>2179</v>
      </c>
      <c r="F83" s="530" t="s">
        <v>2180</v>
      </c>
      <c r="G83" s="530" t="s">
        <v>2181</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2182</v>
      </c>
      <c r="C85" s="535" t="s">
        <v>2177</v>
      </c>
      <c r="D85" s="535" t="s">
        <v>2178</v>
      </c>
      <c r="E85" s="535" t="s">
        <v>2179</v>
      </c>
      <c r="F85" s="535" t="s">
        <v>2180</v>
      </c>
      <c r="G85" s="535" t="s">
        <v>2181</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2271</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2330</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ht="28.5">
      <c r="A107" s="484" t="s">
        <v>2143</v>
      </c>
      <c r="B107" s="485" t="s">
        <v>2370</v>
      </c>
      <c r="C107" s="486" t="str">
        <f t="shared" ref="C107:L107" si="26">C108&amp;"(含)"&amp;"-"&amp;D108</f>
        <v>0(含)-50000</v>
      </c>
      <c r="D107" s="486" t="str">
        <f t="shared" si="26"/>
        <v>50000(含)-100000</v>
      </c>
      <c r="E107" s="486" t="str">
        <f t="shared" si="26"/>
        <v>100000(含)-</v>
      </c>
      <c r="F107" s="486" t="str">
        <f t="shared" si="26"/>
        <v>(含)-</v>
      </c>
      <c r="G107" s="486" t="str">
        <f t="shared" si="26"/>
        <v>(含)-</v>
      </c>
      <c r="H107" s="486" t="str">
        <f t="shared" si="26"/>
        <v>(含)-</v>
      </c>
      <c r="I107" s="486" t="str">
        <f t="shared" si="26"/>
        <v>(含)-</v>
      </c>
      <c r="J107" s="486" t="str">
        <f t="shared" si="26"/>
        <v>(含)-</v>
      </c>
      <c r="K107" s="1451" t="str">
        <f t="shared" si="26"/>
        <v>(含)-</v>
      </c>
      <c r="L107" s="1451" t="str">
        <f t="shared" si="26"/>
        <v>(含)-</v>
      </c>
      <c r="M107" s="1452"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v>0</v>
      </c>
      <c r="D108" s="552">
        <v>50000</v>
      </c>
      <c r="E108" s="552">
        <v>100000</v>
      </c>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v>100</v>
      </c>
      <c r="D109" s="548">
        <v>101</v>
      </c>
      <c r="E109" s="548">
        <v>102</v>
      </c>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2371</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2373</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8">C113-$K36</f>
        <v>100</v>
      </c>
      <c r="E113" s="501">
        <f t="shared" si="28"/>
        <v>100</v>
      </c>
      <c r="F113" s="501">
        <f t="shared" si="28"/>
        <v>100</v>
      </c>
      <c r="G113" s="501">
        <f t="shared" si="28"/>
        <v>100</v>
      </c>
      <c r="H113" s="501">
        <f t="shared" si="28"/>
        <v>100</v>
      </c>
      <c r="I113" s="501">
        <f t="shared" si="28"/>
        <v>100</v>
      </c>
      <c r="J113" s="501">
        <f t="shared" si="28"/>
        <v>100</v>
      </c>
      <c r="K113" s="501">
        <f t="shared" si="28"/>
        <v>100</v>
      </c>
      <c r="L113" s="501">
        <f t="shared" si="28"/>
        <v>100</v>
      </c>
      <c r="M113" s="502">
        <f t="shared" si="28"/>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2374</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75" priority="18" stopIfTrue="1" operator="containsText" text="超过">
      <formula>NOT(ISERROR(SEARCH("超过",F46)))</formula>
    </cfRule>
  </conditionalFormatting>
  <conditionalFormatting sqref="J48">
    <cfRule type="containsText" dxfId="174" priority="17" stopIfTrue="1" operator="containsText" text="超过">
      <formula>NOT(ISERROR(SEARCH("超过",J48)))</formula>
    </cfRule>
  </conditionalFormatting>
  <conditionalFormatting sqref="H48">
    <cfRule type="containsText" dxfId="173" priority="16" stopIfTrue="1" operator="containsText" text="超过">
      <formula>NOT(ISERROR(SEARCH("超过",H48)))</formula>
    </cfRule>
  </conditionalFormatting>
  <conditionalFormatting sqref="F48">
    <cfRule type="containsText" dxfId="172" priority="15" stopIfTrue="1" operator="containsText" text="超过">
      <formula>NOT(ISERROR(SEARCH("超过",F48)))</formula>
    </cfRule>
  </conditionalFormatting>
  <conditionalFormatting sqref="F47 H47 J47">
    <cfRule type="containsText" dxfId="171" priority="14" stopIfTrue="1" operator="containsText" text="超过">
      <formula>NOT(ISERROR(SEARCH("超过",F47)))</formula>
    </cfRule>
  </conditionalFormatting>
  <conditionalFormatting sqref="E46">
    <cfRule type="expression" dxfId="170" priority="13" stopIfTrue="1">
      <formula>$F$46="超过30%"</formula>
    </cfRule>
  </conditionalFormatting>
  <conditionalFormatting sqref="G48">
    <cfRule type="expression" dxfId="169" priority="12" stopIfTrue="1">
      <formula>$H$48="超过30%"</formula>
    </cfRule>
  </conditionalFormatting>
  <conditionalFormatting sqref="E48">
    <cfRule type="expression" dxfId="168" priority="10" stopIfTrue="1">
      <formula>$F$48="超过30%"</formula>
    </cfRule>
  </conditionalFormatting>
  <conditionalFormatting sqref="G46">
    <cfRule type="expression" dxfId="167" priority="9" stopIfTrue="1">
      <formula>$H$46="超过30%"</formula>
    </cfRule>
  </conditionalFormatting>
  <conditionalFormatting sqref="G47">
    <cfRule type="expression" dxfId="166" priority="8" stopIfTrue="1">
      <formula>$H$47="超过20%"</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E47">
    <cfRule type="expression" dxfId="162" priority="53" stopIfTrue="1">
      <formula>#REF!+$F$47="超过20%"</formula>
    </cfRule>
  </conditionalFormatting>
  <conditionalFormatting sqref="F42">
    <cfRule type="expression" dxfId="161" priority="4">
      <formula>$D$42="简单平均"</formula>
    </cfRule>
  </conditionalFormatting>
  <conditionalFormatting sqref="H42">
    <cfRule type="expression" dxfId="160" priority="3">
      <formula>$D$42="简单平均"</formula>
    </cfRule>
  </conditionalFormatting>
  <conditionalFormatting sqref="J42">
    <cfRule type="expression" dxfId="159" priority="2">
      <formula>$D$42="简单平均"</formula>
    </cfRule>
  </conditionalFormatting>
  <conditionalFormatting sqref="F7:F40 H7:H40 J7:J40">
    <cfRule type="cellIs" dxfId="15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c r="D1" s="1494" t="s">
        <v>70</v>
      </c>
      <c r="E1" s="1495" t="s">
        <v>1111</v>
      </c>
      <c r="F1" s="1171">
        <f ca="1">J53</f>
        <v>0</v>
      </c>
      <c r="G1" s="1510">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t="e">
        <f ca="1">C40+J29+L46</f>
        <v>#DIV/0!</v>
      </c>
      <c r="C2" s="1519" t="s">
        <v>1240</v>
      </c>
      <c r="D2" s="1519"/>
      <c r="E2" s="1520"/>
      <c r="F2" s="1521"/>
      <c r="G2" s="2881"/>
      <c r="H2" s="2870"/>
      <c r="I2" s="2870"/>
      <c r="J2" s="2870"/>
      <c r="K2" s="2871"/>
      <c r="L2" s="2870"/>
      <c r="M2" s="2870"/>
    </row>
    <row r="3" spans="1:37" ht="18" customHeight="1" thickBot="1">
      <c r="A3" s="1522" t="s">
        <v>1241</v>
      </c>
      <c r="B3" s="1523">
        <f ca="1">IF(ISERROR(B2*10000/F43),0,ROUND(B2*10000/F43,0))</f>
        <v>0</v>
      </c>
      <c r="C3" s="1519" t="s">
        <v>1242</v>
      </c>
      <c r="D3" s="1519"/>
      <c r="E3" s="1520"/>
      <c r="F3" s="1521"/>
      <c r="G3" s="2881"/>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0</v>
      </c>
      <c r="D5" s="1496" t="s">
        <v>1126</v>
      </c>
      <c r="E5" s="1181"/>
      <c r="F5" s="1182"/>
      <c r="G5" s="1516"/>
      <c r="H5" s="305">
        <v>1</v>
      </c>
      <c r="I5" s="306" t="s">
        <v>1125</v>
      </c>
      <c r="J5" s="1180">
        <f ca="1">J6+J10+J12</f>
        <v>0</v>
      </c>
      <c r="K5" s="1496" t="s">
        <v>1126</v>
      </c>
      <c r="L5" s="1181"/>
      <c r="M5" s="1182"/>
    </row>
    <row r="6" spans="1:37" ht="18" customHeight="1">
      <c r="A6" s="1179" t="s">
        <v>822</v>
      </c>
      <c r="B6" s="3504" t="s">
        <v>1127</v>
      </c>
      <c r="C6" s="1184">
        <f ca="1">ROUND(F6*F8*F7*(1-F9)/10000,0)</f>
        <v>0</v>
      </c>
      <c r="D6" s="160" t="s">
        <v>2608</v>
      </c>
      <c r="E6" s="308" t="s">
        <v>1129</v>
      </c>
      <c r="F6" s="309">
        <f ca="1">INDIRECT("'数据-取费表'!u"&amp;$G$1)</f>
        <v>0</v>
      </c>
      <c r="G6" s="1516"/>
      <c r="H6" s="1179" t="s">
        <v>822</v>
      </c>
      <c r="I6" s="3504" t="s">
        <v>1127</v>
      </c>
      <c r="J6" s="307">
        <f ca="1">ROUND(M6*M8*M7*(1-M9)/10000,0)</f>
        <v>0</v>
      </c>
      <c r="K6" s="160" t="s">
        <v>2607</v>
      </c>
      <c r="L6" s="308" t="s">
        <v>1129</v>
      </c>
      <c r="M6" s="309">
        <f ca="1">INDIRECT("'数据-取费表'!z"&amp;$G$1)</f>
        <v>0</v>
      </c>
    </row>
    <row r="7" spans="1:37" ht="18" customHeight="1">
      <c r="A7" s="1183"/>
      <c r="B7" s="3505"/>
      <c r="C7" s="1185"/>
      <c r="D7" s="313"/>
      <c r="E7" s="3237" t="s">
        <v>1130</v>
      </c>
      <c r="F7" s="309">
        <f ca="1">IF(INDIRECT("'数据-取费表'!ah"&amp;$G$1)="",INDIRECT("'数据-取费表'!k"&amp;$G$1),INDIRECT("'数据-取费表'!ah"&amp;$G$1))</f>
        <v>0</v>
      </c>
      <c r="G7" s="1516"/>
      <c r="H7" s="310"/>
      <c r="I7" s="3505"/>
      <c r="J7" s="312"/>
      <c r="K7" s="313"/>
      <c r="L7" s="308" t="s">
        <v>1130</v>
      </c>
      <c r="M7" s="309">
        <f ca="1">F7</f>
        <v>0</v>
      </c>
    </row>
    <row r="8" spans="1:37" ht="18" customHeight="1">
      <c r="A8" s="310"/>
      <c r="B8" s="3505"/>
      <c r="C8" s="312"/>
      <c r="D8" s="313"/>
      <c r="E8" s="308" t="s">
        <v>1131</v>
      </c>
      <c r="F8" s="309">
        <f ca="1">INDIRECT("'数据-取费表'!ai"&amp;$G$1)</f>
        <v>0</v>
      </c>
      <c r="G8" s="1516"/>
      <c r="H8" s="310"/>
      <c r="I8" s="3505"/>
      <c r="J8" s="312"/>
      <c r="K8" s="313"/>
      <c r="L8" s="308" t="s">
        <v>1131</v>
      </c>
      <c r="M8" s="309">
        <f ca="1">INDIRECT("'数据-取费表'!ai"&amp;$G$1)</f>
        <v>0</v>
      </c>
    </row>
    <row r="9" spans="1:37" ht="18" customHeight="1">
      <c r="A9" s="310"/>
      <c r="B9" s="3506"/>
      <c r="C9" s="312"/>
      <c r="D9" s="313"/>
      <c r="E9" s="308" t="s">
        <v>1132</v>
      </c>
      <c r="F9" s="318">
        <f ca="1">INDIRECT("'数据-取费表'!w"&amp;$G$1)</f>
        <v>0</v>
      </c>
      <c r="G9" s="1516"/>
      <c r="H9" s="310"/>
      <c r="I9" s="3506"/>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2615</v>
      </c>
      <c r="E10" s="319" t="s">
        <v>1134</v>
      </c>
      <c r="F10" s="1226" t="s">
        <v>3193</v>
      </c>
      <c r="G10" s="1516"/>
      <c r="H10" s="1179" t="s">
        <v>826</v>
      </c>
      <c r="I10" s="1497" t="s">
        <v>1133</v>
      </c>
      <c r="J10" s="307">
        <f ca="1">ROUND(IF(M10="押一",J6/12*M11,IF(M10="押二",J6/12*2*M11,IF(M10="押三",J6/12*3*M11,J11*M11))),0)</f>
        <v>0</v>
      </c>
      <c r="K10" s="1498" t="s">
        <v>2615</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0</v>
      </c>
      <c r="D13" s="3229" t="s">
        <v>1139</v>
      </c>
      <c r="E13" s="3229" t="s">
        <v>1140</v>
      </c>
      <c r="F13" s="1192">
        <f ca="1">INDIRECT("'数据-取费表'!y"&amp;$G$1)</f>
        <v>0</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0</v>
      </c>
      <c r="D14" s="3233" t="s">
        <v>1142</v>
      </c>
      <c r="E14" s="3231"/>
      <c r="F14" s="325"/>
      <c r="G14" s="1516"/>
      <c r="H14" s="1091" t="s">
        <v>822</v>
      </c>
      <c r="I14" s="308" t="s">
        <v>1143</v>
      </c>
      <c r="J14" s="24">
        <f ca="1">C29</f>
        <v>0</v>
      </c>
      <c r="K14" s="3236"/>
      <c r="L14" s="894"/>
      <c r="M14" s="895"/>
    </row>
    <row r="15" spans="1:37" s="1529" customFormat="1" ht="18" customHeight="1" thickBot="1">
      <c r="A15" s="1091" t="s">
        <v>823</v>
      </c>
      <c r="B15" s="308" t="s">
        <v>1144</v>
      </c>
      <c r="C15" s="24">
        <f ca="1">ROUND(C14*F15,0)</f>
        <v>0</v>
      </c>
      <c r="D15" s="3230" t="s">
        <v>1145</v>
      </c>
      <c r="E15" s="3230" t="s">
        <v>1146</v>
      </c>
      <c r="F15" s="327">
        <f>'数据-取费表'!B33</f>
        <v>0.05</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0</v>
      </c>
      <c r="K16" s="1197" t="s">
        <v>1149</v>
      </c>
      <c r="L16" s="3234"/>
      <c r="M16" s="1182"/>
    </row>
    <row r="17" spans="1:37" s="1529" customFormat="1" ht="18" customHeight="1">
      <c r="A17" s="1091" t="s">
        <v>1114</v>
      </c>
      <c r="B17" s="308" t="s">
        <v>1150</v>
      </c>
      <c r="C17" s="24">
        <f ca="1">ROUND(F17*(F43+INDIRECT("'数据-取费表'!S"&amp;$G$1))/10000,0)</f>
        <v>0</v>
      </c>
      <c r="D17" s="308" t="s">
        <v>1151</v>
      </c>
      <c r="E17" s="308" t="s">
        <v>1152</v>
      </c>
      <c r="F17" s="26">
        <f>'数据-取费表'!B35</f>
        <v>200</v>
      </c>
      <c r="G17" s="1528"/>
      <c r="H17" s="1091" t="s">
        <v>822</v>
      </c>
      <c r="I17" s="308" t="s">
        <v>1153</v>
      </c>
      <c r="J17" s="2481">
        <f ca="1">ROUND(IF(AND(项目基本情况!B11="自然人",项目基本情况!B10="北京市"),J6*M17/(1+'数据-取费表'!C42),J18+J19+J20),0)</f>
        <v>0</v>
      </c>
      <c r="K17" s="3233" t="s">
        <v>1154</v>
      </c>
      <c r="L17" s="3232"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3232"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0</v>
      </c>
      <c r="D19" s="136" t="s">
        <v>1160</v>
      </c>
      <c r="E19" s="3239"/>
      <c r="F19" s="26"/>
      <c r="G19" s="1516"/>
      <c r="H19" s="1091" t="s">
        <v>823</v>
      </c>
      <c r="I19" s="308" t="s">
        <v>1161</v>
      </c>
      <c r="J19" s="24">
        <f ca="1">IF(K19="按租金收入计税",ROUND(J6*M19/(1+'数据-取费表'!C42),2),ROUND(C29*M19*0.7,2))</f>
        <v>0</v>
      </c>
      <c r="K19" s="1502" t="s">
        <v>1162</v>
      </c>
      <c r="L19" s="308" t="s">
        <v>1146</v>
      </c>
      <c r="M19" s="328">
        <f>IF(K19="按租金收入计税",'数据-取费表'!B51,'数据-取费表'!B50)</f>
        <v>1.2E-2</v>
      </c>
    </row>
    <row r="20" spans="1:37" s="1529" customFormat="1" ht="18" customHeight="1">
      <c r="A20" s="1091" t="s">
        <v>826</v>
      </c>
      <c r="B20" s="308" t="s">
        <v>1163</v>
      </c>
      <c r="C20" s="24">
        <f ca="1">ROUND(C19*F20,0)</f>
        <v>0</v>
      </c>
      <c r="D20" s="329" t="s">
        <v>1164</v>
      </c>
      <c r="E20" s="308" t="s">
        <v>1146</v>
      </c>
      <c r="F20" s="328">
        <f>'数据-取费表'!B37</f>
        <v>0.02</v>
      </c>
      <c r="G20" s="1528"/>
      <c r="H20" s="1091" t="s">
        <v>1113</v>
      </c>
      <c r="I20" s="160" t="s">
        <v>1165</v>
      </c>
      <c r="J20" s="25">
        <f ca="1">ROUND(M20*M21/10000,2)</f>
        <v>0</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39"/>
      <c r="F22" s="26"/>
      <c r="G22" s="1516"/>
      <c r="H22" s="1091" t="s">
        <v>826</v>
      </c>
      <c r="I22" s="308" t="s">
        <v>1173</v>
      </c>
      <c r="J22" s="24">
        <f ca="1">ROUND(J14*M22,1)</f>
        <v>0</v>
      </c>
      <c r="K22" s="3232" t="s">
        <v>1174</v>
      </c>
      <c r="L22" s="308" t="s">
        <v>1146</v>
      </c>
      <c r="M22" s="334">
        <f ca="1">INDIRECT("'数据-取费表'!Ak"&amp;$G$1)</f>
        <v>0</v>
      </c>
    </row>
    <row r="23" spans="1:37" s="1529" customFormat="1" ht="18" customHeight="1">
      <c r="A23" s="1091"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3232" t="s">
        <v>1178</v>
      </c>
      <c r="L23" s="308" t="s">
        <v>1179</v>
      </c>
      <c r="M23" s="336">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3239"/>
      <c r="F25" s="26"/>
      <c r="G25" s="1516"/>
      <c r="H25" s="1189" t="s">
        <v>818</v>
      </c>
      <c r="I25" s="1204" t="s">
        <v>1187</v>
      </c>
      <c r="J25" s="316">
        <f ca="1">J5-J16</f>
        <v>0</v>
      </c>
      <c r="K25" s="1205" t="s">
        <v>1188</v>
      </c>
      <c r="L25" s="1206"/>
      <c r="M25" s="1207"/>
    </row>
    <row r="26" spans="1:37">
      <c r="A26" s="1091" t="s">
        <v>821</v>
      </c>
      <c r="B26" s="308" t="s">
        <v>1189</v>
      </c>
      <c r="C26" s="24">
        <f ca="1">ROUND((C19+C20)*F26,0)</f>
        <v>0</v>
      </c>
      <c r="D26" s="329" t="s">
        <v>1190</v>
      </c>
      <c r="E26" s="319" t="s">
        <v>1191</v>
      </c>
      <c r="F26" s="318">
        <f ca="1">INDIRECT("'数据-取费表'!q"&amp;$G$1)</f>
        <v>0</v>
      </c>
      <c r="G26" s="1516"/>
      <c r="H26" s="305" t="s">
        <v>819</v>
      </c>
      <c r="I26" s="306" t="s">
        <v>1192</v>
      </c>
      <c r="J26" s="307">
        <f ca="1">IF(J5&lt;&gt;0,ROUND(J25*(1-((1+M28)/(1+M26))^M27)/(M26-M28),0),0)</f>
        <v>0</v>
      </c>
      <c r="K26" s="330" t="s">
        <v>1193</v>
      </c>
      <c r="L26" s="308" t="s">
        <v>1194</v>
      </c>
      <c r="M26" s="318">
        <f ca="1">INDIRECT("'数据-取费表'!I"&amp;$G$1)</f>
        <v>0</v>
      </c>
    </row>
    <row r="27" spans="1:37" ht="18" customHeight="1">
      <c r="A27" s="1091" t="s">
        <v>823</v>
      </c>
      <c r="B27" s="308" t="s">
        <v>1195</v>
      </c>
      <c r="C27" s="24">
        <f ca="1">ROUND(F21*F26,4)</f>
        <v>0</v>
      </c>
      <c r="D27" s="329" t="s">
        <v>1196</v>
      </c>
      <c r="E27" s="3230"/>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0</v>
      </c>
      <c r="D29" s="1202"/>
      <c r="E29" s="1200"/>
      <c r="F29" s="1203"/>
      <c r="G29" s="1528"/>
      <c r="H29" s="340" t="s">
        <v>820</v>
      </c>
      <c r="I29" s="341" t="s">
        <v>1203</v>
      </c>
      <c r="J29" s="342">
        <f ca="1">ROUND(J26/(1+F40)^F41,0)</f>
        <v>0</v>
      </c>
      <c r="K29" s="343" t="s">
        <v>1204</v>
      </c>
      <c r="L29" s="344"/>
      <c r="M29" s="345">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0</v>
      </c>
      <c r="D30" s="1197" t="s">
        <v>1149</v>
      </c>
      <c r="E30" s="3234"/>
      <c r="F30" s="1182"/>
      <c r="G30" s="1516"/>
      <c r="H30" s="2872"/>
      <c r="I30" s="1530"/>
      <c r="J30" s="1531"/>
      <c r="K30" s="2647"/>
      <c r="L30" s="2873"/>
      <c r="M30" s="2874"/>
    </row>
    <row r="31" spans="1:37" ht="18" customHeight="1">
      <c r="A31" s="1091" t="s">
        <v>822</v>
      </c>
      <c r="B31" s="308" t="s">
        <v>1153</v>
      </c>
      <c r="C31" s="2481">
        <f ca="1">ROUND(IF(AND(项目基本情况!B11="自然人",项目基本情况!B10="北京市"),C6*F31/(1+'数据-取费表'!C42),C32+C33+C34),0)</f>
        <v>0</v>
      </c>
      <c r="D31" s="3233" t="s">
        <v>1154</v>
      </c>
      <c r="E31" s="3232"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f ca="1">IF(项目基本情况!B11="自然人","——",ROUND(C6*F32/(1+'数据-取费表'!C42),2))</f>
        <v>0</v>
      </c>
      <c r="D32" s="3232"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f ca="1">IF(项目基本情况!B11="自然人","——",IF(D33="按租金收入计税",ROUND(C6*F33/(1+'数据-取费表'!C42),2),IF(D33="按房产原值计税",ROUND(C29*F33*0.7,2),INDIRECT("'数据-取费表'!Aj"&amp;$G$1))))</f>
        <v>0</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f ca="1">IF(项目基本情况!B11="自然人","——",ROUND(F34*F35/10000,2))</f>
        <v>0</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f ca="1">INDIRECT("'数据-取费表'!r"&amp;$G$1)</f>
        <v>0</v>
      </c>
      <c r="G35" s="1516"/>
      <c r="H35" s="2872"/>
      <c r="I35" s="1530"/>
      <c r="J35" s="1531"/>
      <c r="K35" s="2876"/>
      <c r="L35" s="2875"/>
      <c r="M35" s="2875"/>
    </row>
    <row r="36" spans="1:18" ht="18" customHeight="1">
      <c r="A36" s="1212" t="s">
        <v>826</v>
      </c>
      <c r="B36" s="308" t="s">
        <v>1173</v>
      </c>
      <c r="C36" s="24">
        <f ca="1">ROUND(C29*F36,1)</f>
        <v>0</v>
      </c>
      <c r="D36" s="3232" t="s">
        <v>1206</v>
      </c>
      <c r="E36" s="308" t="s">
        <v>1146</v>
      </c>
      <c r="F36" s="334">
        <f ca="1">INDIRECT("'数据-取费表'!Ak"&amp;$G$1)</f>
        <v>0</v>
      </c>
      <c r="G36" s="1516"/>
      <c r="H36" s="2875"/>
      <c r="I36" s="1530"/>
      <c r="J36" s="1531"/>
      <c r="K36" s="2716"/>
      <c r="L36" s="2875"/>
      <c r="M36" s="2875"/>
    </row>
    <row r="37" spans="1:18" ht="18" customHeight="1">
      <c r="A37" s="1091" t="s">
        <v>862</v>
      </c>
      <c r="B37" s="308" t="s">
        <v>1177</v>
      </c>
      <c r="C37" s="24">
        <f ca="1">ROUND(C13*F37,1)</f>
        <v>0</v>
      </c>
      <c r="D37" s="3232" t="s">
        <v>1178</v>
      </c>
      <c r="E37" s="308" t="s">
        <v>1179</v>
      </c>
      <c r="F37" s="336">
        <f ca="1">INDIRECT("'数据-取费表'!Al"&amp;$G$1)</f>
        <v>0</v>
      </c>
      <c r="G37" s="1516"/>
      <c r="H37" s="2875"/>
      <c r="I37" s="1530"/>
      <c r="J37" s="1531"/>
      <c r="K37" s="2716"/>
      <c r="L37" s="2875"/>
      <c r="M37" s="2875"/>
    </row>
    <row r="38" spans="1:18" ht="18" customHeight="1" thickBot="1">
      <c r="A38" s="1199" t="s">
        <v>1117</v>
      </c>
      <c r="B38" s="1200" t="s">
        <v>1163</v>
      </c>
      <c r="C38" s="1201">
        <f ca="1">ROUND(C5*F38,1)</f>
        <v>0</v>
      </c>
      <c r="D38" s="1202" t="s">
        <v>1183</v>
      </c>
      <c r="E38" s="1200" t="s">
        <v>1179</v>
      </c>
      <c r="F38" s="1196">
        <f ca="1">INDIRECT("'数据-取费表'!Am"&amp;$G$1)</f>
        <v>0</v>
      </c>
      <c r="G38" s="1516"/>
      <c r="H38" s="2875"/>
      <c r="I38" s="1530"/>
      <c r="J38" s="1531"/>
      <c r="K38" s="2879"/>
      <c r="L38" s="2875"/>
      <c r="M38" s="2875"/>
    </row>
    <row r="39" spans="1:18" ht="24.6" customHeight="1" thickTop="1">
      <c r="A39" s="1189" t="s">
        <v>818</v>
      </c>
      <c r="B39" s="1204" t="s">
        <v>1207</v>
      </c>
      <c r="C39" s="316">
        <f ca="1">C5-C30</f>
        <v>0</v>
      </c>
      <c r="D39" s="1205" t="s">
        <v>1208</v>
      </c>
      <c r="E39" s="1206"/>
      <c r="F39" s="1207"/>
      <c r="G39" s="1516"/>
      <c r="H39" s="2875"/>
      <c r="I39" s="1530"/>
      <c r="J39" s="1531"/>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6"/>
      <c r="H40" s="1593"/>
      <c r="I40" s="1530"/>
      <c r="J40" s="1531"/>
      <c r="K40" s="2879"/>
      <c r="L40" s="1593"/>
      <c r="M40" s="1593"/>
    </row>
    <row r="41" spans="1:18" ht="18" customHeight="1">
      <c r="A41" s="310"/>
      <c r="B41" s="311"/>
      <c r="C41" s="312"/>
      <c r="D41" s="338" t="s">
        <v>1210</v>
      </c>
      <c r="E41" s="308" t="s">
        <v>1198</v>
      </c>
      <c r="F41" s="339">
        <f ca="1">IF(INDIRECT("'数据-取费表'!af"&amp;$G$1)=0,INDIRECT("'数据-取费表'!ae"&amp;$G$1),INDIRECT("'数据-取费表'!af"&amp;$G$1))</f>
        <v>0</v>
      </c>
      <c r="G41" s="1516"/>
      <c r="H41" s="1303"/>
      <c r="I41" s="1530"/>
      <c r="J41" s="1531"/>
      <c r="K41" s="2716"/>
      <c r="L41" s="1303"/>
      <c r="M41" s="1303"/>
    </row>
    <row r="42" spans="1:18" ht="18" customHeight="1">
      <c r="A42" s="314"/>
      <c r="B42" s="315"/>
      <c r="C42" s="316"/>
      <c r="D42" s="333"/>
      <c r="E42" s="308" t="s">
        <v>1201</v>
      </c>
      <c r="F42" s="318">
        <f ca="1">INDIRECT("'数据-取费表'!v"&amp;$G$1)</f>
        <v>0</v>
      </c>
      <c r="G42" s="1516"/>
      <c r="H42" s="1303"/>
      <c r="I42" s="1530"/>
      <c r="J42" s="1531"/>
      <c r="K42" s="2716"/>
      <c r="L42" s="1303"/>
      <c r="M42" s="1303"/>
    </row>
    <row r="43" spans="1:18" ht="18" customHeight="1" thickBot="1">
      <c r="A43" s="340" t="s">
        <v>820</v>
      </c>
      <c r="B43" s="341" t="s">
        <v>1211</v>
      </c>
      <c r="C43" s="342" t="e">
        <f ca="1">ROUND(C40*10000/F43,0)</f>
        <v>#DIV/0!</v>
      </c>
      <c r="D43" s="343" t="s">
        <v>1212</v>
      </c>
      <c r="E43" s="344" t="s">
        <v>1213</v>
      </c>
      <c r="F43" s="345">
        <f ca="1">INDIRECT("'数据-取费表'!k"&amp;$G$1)</f>
        <v>0</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80" t="s">
        <v>1243</v>
      </c>
      <c r="P45" s="1593"/>
      <c r="Q45" s="1593"/>
      <c r="R45" s="1593"/>
    </row>
    <row r="46" spans="1:18" s="1516" customFormat="1" ht="13.5" thickBot="1">
      <c r="A46" s="1536" t="s">
        <v>1244</v>
      </c>
      <c r="C46" s="1537" t="e">
        <f ca="1">C68-C40</f>
        <v>#DIV/0!</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31"/>
      <c r="I47" s="1546" t="s">
        <v>1250</v>
      </c>
      <c r="J47" s="1547" t="s">
        <v>3184</v>
      </c>
      <c r="K47" s="1548" t="s">
        <v>1251</v>
      </c>
      <c r="L47" s="1549">
        <f ca="1">INDIRECT("'数据-取费表'!d"&amp;$G$1)</f>
        <v>0</v>
      </c>
      <c r="M47" s="1512" t="str">
        <f>IF(ISNUMBER(FIND("住宅",C1)),"住宅","非住宅")</f>
        <v>非住宅</v>
      </c>
      <c r="O47" s="1550" t="s">
        <v>827</v>
      </c>
      <c r="P47" s="1551" t="s">
        <v>1252</v>
      </c>
      <c r="Q47" s="1552" t="e">
        <f ca="1">C40+J29</f>
        <v>#DIV/0!</v>
      </c>
      <c r="R47" s="1552" t="s">
        <v>1253</v>
      </c>
    </row>
    <row r="48" spans="1:18" s="1516" customFormat="1" ht="28.5" thickBot="1">
      <c r="A48" s="1220" t="s">
        <v>863</v>
      </c>
      <c r="B48" s="306" t="s">
        <v>1125</v>
      </c>
      <c r="C48" s="3238">
        <f ca="1">C49+C53+C55</f>
        <v>0</v>
      </c>
      <c r="D48" s="1222"/>
      <c r="E48" s="1223"/>
      <c r="F48" s="1071"/>
      <c r="G48" s="731"/>
      <c r="H48" s="732"/>
      <c r="I48" s="1553" t="s">
        <v>1254</v>
      </c>
      <c r="J48" s="1554" t="s">
        <v>3185</v>
      </c>
      <c r="K48" s="1555" t="s">
        <v>1255</v>
      </c>
      <c r="L48" s="1556">
        <f ca="1">INDIRECT("'数据-取费表'!f"&amp;$G$1)</f>
        <v>0</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32"/>
      <c r="I49" s="1553" t="s">
        <v>1258</v>
      </c>
      <c r="J49" s="1558">
        <v>2020</v>
      </c>
      <c r="K49" s="1555" t="s">
        <v>1259</v>
      </c>
      <c r="L49" s="1559"/>
      <c r="O49" s="1560" t="s">
        <v>829</v>
      </c>
      <c r="P49" s="1551" t="s">
        <v>1260</v>
      </c>
      <c r="Q49" s="1552">
        <f ca="1">C29</f>
        <v>0</v>
      </c>
      <c r="R49" s="1552" t="s">
        <v>1253</v>
      </c>
    </row>
    <row r="50" spans="1:18" s="1516" customFormat="1" ht="13.5" thickBot="1">
      <c r="A50" s="1085"/>
      <c r="B50" s="1088"/>
      <c r="C50" s="1228"/>
      <c r="D50" s="1062"/>
      <c r="E50" s="1165" t="s">
        <v>1130</v>
      </c>
      <c r="F50" s="1166">
        <f ca="1">F7</f>
        <v>0</v>
      </c>
      <c r="H50" s="732"/>
      <c r="I50" s="1553" t="s">
        <v>1261</v>
      </c>
      <c r="J50" s="1561">
        <f>SUMPRODUCT((I63:I65=J47)*(J62:L62=J48)*(J63:L65))</f>
        <v>50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0</v>
      </c>
      <c r="I51" s="1564" t="s">
        <v>1264</v>
      </c>
      <c r="J51" s="1565">
        <f>IF(J49="",J50,J49+J50-YEAR('数据-取费表'!B2))</f>
        <v>48</v>
      </c>
      <c r="K51" s="1566" t="s">
        <v>1265</v>
      </c>
      <c r="L51" s="1567">
        <f ca="1">ROUND(-PV(INDIRECT("'数据-取费表'!h"&amp;$G$1),J51,(C39-C13*C76),0),0)</f>
        <v>0</v>
      </c>
      <c r="M51" s="1568"/>
      <c r="O51" s="1560" t="s">
        <v>831</v>
      </c>
      <c r="P51" s="1551" t="s">
        <v>1266</v>
      </c>
      <c r="Q51" s="1563">
        <f>J52</f>
        <v>7.4999999999999997E-2</v>
      </c>
      <c r="R51" s="1552"/>
    </row>
    <row r="52" spans="1:18" s="1516" customFormat="1" ht="13.5" thickBot="1">
      <c r="A52" s="1086"/>
      <c r="B52" s="1088"/>
      <c r="C52" s="1089"/>
      <c r="D52" s="1062"/>
      <c r="E52" s="1090" t="s">
        <v>1132</v>
      </c>
      <c r="F52" s="1163"/>
      <c r="I52" s="1569" t="s">
        <v>1267</v>
      </c>
      <c r="J52" s="1570">
        <v>7.4999999999999997E-2</v>
      </c>
      <c r="K52" s="1569" t="s">
        <v>1268</v>
      </c>
      <c r="L52" s="1570"/>
      <c r="O52" s="1560" t="s">
        <v>832</v>
      </c>
      <c r="P52" s="1551" t="s">
        <v>1269</v>
      </c>
      <c r="Q52" s="1552">
        <f ca="1">J53</f>
        <v>0</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f ca="1">IF(M47="住宅",IF(D1="——",MAX(J51,L48),MAX(J51,L48-'数据-取费表'!B24)),IF(D1="——",MIN(J51,L48),MIN(J51,L48-'数据-取费表'!B24)))</f>
        <v>0</v>
      </c>
      <c r="K53" s="3507" t="s">
        <v>1272</v>
      </c>
      <c r="L53" s="3508"/>
      <c r="O53" s="1550" t="s">
        <v>833</v>
      </c>
      <c r="P53" s="1551" t="s">
        <v>1273</v>
      </c>
      <c r="Q53" s="1552" t="e">
        <f ca="1">Q47+Q48</f>
        <v>#DIV/0!</v>
      </c>
      <c r="R53" s="1552" t="s">
        <v>834</v>
      </c>
    </row>
    <row r="54" spans="1:18" s="1516" customFormat="1" ht="13.5" thickBot="1">
      <c r="A54" s="1265"/>
      <c r="B54" s="1499" t="s">
        <v>1112</v>
      </c>
      <c r="C54" s="1068"/>
      <c r="D54" s="1498"/>
      <c r="E54" s="323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5"/>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0</v>
      </c>
      <c r="D56" s="1579"/>
      <c r="E56" s="1580"/>
      <c r="F56" s="1572"/>
      <c r="I56" s="1581" t="s">
        <v>1278</v>
      </c>
      <c r="J56" s="1582" t="s">
        <v>3178</v>
      </c>
      <c r="K56" s="1553" t="s">
        <v>1279</v>
      </c>
      <c r="L56" s="1556" t="str">
        <f ca="1">IF(L48&lt;J51,"——",L48-J53)</f>
        <v>——</v>
      </c>
      <c r="O56" s="1550" t="s">
        <v>827</v>
      </c>
      <c r="P56" s="1551" t="s">
        <v>1252</v>
      </c>
      <c r="Q56" s="1552" t="e">
        <f ca="1">C40+J29</f>
        <v>#DIV/0!</v>
      </c>
      <c r="R56" s="1552" t="s">
        <v>1253</v>
      </c>
    </row>
    <row r="57" spans="1:18" s="1516" customFormat="1" ht="24.75" thickBot="1">
      <c r="A57" s="1583"/>
      <c r="B57" s="1059" t="s">
        <v>1202</v>
      </c>
      <c r="C57" s="244">
        <f ca="1">C29</f>
        <v>0</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0</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0</v>
      </c>
      <c r="D59" s="1072" t="s">
        <v>1154</v>
      </c>
      <c r="E59" s="1073"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5.5000000000000007E-2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0</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v>
      </c>
      <c r="D62" s="1074" t="s">
        <v>1221</v>
      </c>
      <c r="E62" s="1059" t="s">
        <v>1222</v>
      </c>
      <c r="F62" s="331">
        <f t="shared" si="0"/>
        <v>1.5</v>
      </c>
      <c r="I62" s="1594" t="s">
        <v>1294</v>
      </c>
      <c r="J62" s="1595" t="s">
        <v>1295</v>
      </c>
      <c r="K62" s="1595" t="s">
        <v>1296</v>
      </c>
      <c r="L62" s="1595" t="s">
        <v>1297</v>
      </c>
      <c r="M62" s="1596" t="s">
        <v>1298</v>
      </c>
      <c r="O62" s="1550" t="s">
        <v>833</v>
      </c>
      <c r="P62" s="1551" t="s">
        <v>1299</v>
      </c>
      <c r="Q62" s="1552" t="e">
        <f ca="1">Q56+Q57</f>
        <v>#DIV/0!</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v>
      </c>
      <c r="D64" s="1073" t="s">
        <v>1226</v>
      </c>
      <c r="E64" s="1059" t="s">
        <v>1218</v>
      </c>
      <c r="F64" s="334">
        <f t="shared" ca="1" si="0"/>
        <v>0</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v>
      </c>
      <c r="D65" s="1073" t="s">
        <v>1178</v>
      </c>
      <c r="E65" s="1059" t="s">
        <v>1179</v>
      </c>
      <c r="F65" s="336">
        <f t="shared" ca="1" si="0"/>
        <v>0</v>
      </c>
      <c r="I65" s="1594" t="s">
        <v>1303</v>
      </c>
      <c r="J65" s="1595">
        <v>40</v>
      </c>
      <c r="K65" s="1595">
        <v>30</v>
      </c>
      <c r="L65" s="1595">
        <v>50</v>
      </c>
      <c r="M65" s="1597">
        <v>0.02</v>
      </c>
      <c r="O65" s="1550" t="s">
        <v>827</v>
      </c>
      <c r="P65" s="1551" t="s">
        <v>1304</v>
      </c>
      <c r="Q65" s="1552" t="e">
        <f ca="1">C40+J29</f>
        <v>#DIV/0!</v>
      </c>
      <c r="R65" s="1552" t="s">
        <v>1253</v>
      </c>
    </row>
    <row r="66" spans="1:18" s="1516" customFormat="1" ht="16.5" thickBot="1">
      <c r="A66" s="1091" t="s">
        <v>1228</v>
      </c>
      <c r="B66" s="1059" t="s">
        <v>1163</v>
      </c>
      <c r="C66" s="24">
        <f ca="1">ROUND(C48*F66,1)</f>
        <v>0</v>
      </c>
      <c r="D66" s="1073" t="s">
        <v>1229</v>
      </c>
      <c r="E66" s="1059" t="s">
        <v>1146</v>
      </c>
      <c r="F66" s="318">
        <f t="shared" ca="1" si="0"/>
        <v>0</v>
      </c>
      <c r="O66" s="1550" t="s">
        <v>828</v>
      </c>
      <c r="P66" s="1551" t="s">
        <v>1282</v>
      </c>
      <c r="Q66" s="1552">
        <f ca="1">L60</f>
        <v>0</v>
      </c>
      <c r="R66" s="1552" t="s">
        <v>1305</v>
      </c>
    </row>
    <row r="67" spans="1:18" s="1516" customFormat="1" ht="16.5" thickBot="1">
      <c r="A67" s="1066" t="s">
        <v>818</v>
      </c>
      <c r="B67" s="1076" t="s">
        <v>1187</v>
      </c>
      <c r="C67" s="322">
        <f ca="1">C48-C58</f>
        <v>0</v>
      </c>
      <c r="D67" s="1072" t="s">
        <v>1188</v>
      </c>
      <c r="E67" s="1077"/>
      <c r="F67" s="1078"/>
      <c r="O67" s="1560" t="s">
        <v>829</v>
      </c>
      <c r="P67" s="1551" t="s">
        <v>1286</v>
      </c>
      <c r="Q67" s="1598">
        <f ca="1">L51</f>
        <v>0</v>
      </c>
      <c r="R67" s="1552" t="s">
        <v>1306</v>
      </c>
    </row>
    <row r="68" spans="1:18" s="1516" customFormat="1" ht="16.5" thickBot="1">
      <c r="A68" s="1056" t="s">
        <v>819</v>
      </c>
      <c r="B68" s="1057" t="s">
        <v>1209</v>
      </c>
      <c r="C68" s="307" t="e">
        <f ca="1">ROUND(C67*(1-((1+F70)/(1+F68))^F69)/(F68-F70),0)</f>
        <v>#DIV/0!</v>
      </c>
      <c r="D68" s="1074" t="s">
        <v>1193</v>
      </c>
      <c r="E68" s="1059" t="s">
        <v>1194</v>
      </c>
      <c r="F68" s="318">
        <f ca="1">F40</f>
        <v>0</v>
      </c>
      <c r="O68" s="1560" t="s">
        <v>830</v>
      </c>
      <c r="P68" s="1599" t="s">
        <v>1307</v>
      </c>
      <c r="Q68" s="1552">
        <f ca="1">ROUND(Q69-Q70*Q71,0)</f>
        <v>0</v>
      </c>
      <c r="R68" s="1552" t="s">
        <v>838</v>
      </c>
    </row>
    <row r="69" spans="1:18" s="1516" customFormat="1" ht="13.5" thickBot="1">
      <c r="A69" s="1060"/>
      <c r="B69" s="1061"/>
      <c r="C69" s="312"/>
      <c r="D69" s="1079" t="s">
        <v>1197</v>
      </c>
      <c r="E69" s="1059" t="s">
        <v>1198</v>
      </c>
      <c r="F69" s="339">
        <f ca="1">F41</f>
        <v>0</v>
      </c>
      <c r="O69" s="1560" t="s">
        <v>835</v>
      </c>
      <c r="P69" s="1599" t="s">
        <v>1308</v>
      </c>
      <c r="Q69" s="1552">
        <f ca="1">C39</f>
        <v>0</v>
      </c>
      <c r="R69" s="1552" t="s">
        <v>1253</v>
      </c>
    </row>
    <row r="70" spans="1:18" s="1516" customFormat="1" ht="13.5" thickBot="1">
      <c r="A70" s="1063"/>
      <c r="B70" s="1064"/>
      <c r="C70" s="316"/>
      <c r="D70" s="1075"/>
      <c r="E70" s="1059" t="s">
        <v>1201</v>
      </c>
      <c r="F70" s="1163"/>
      <c r="O70" s="1560" t="s">
        <v>836</v>
      </c>
      <c r="P70" s="1599" t="s">
        <v>1309</v>
      </c>
      <c r="Q70" s="1552">
        <f ca="1">C13</f>
        <v>0</v>
      </c>
      <c r="R70" s="1552" t="s">
        <v>1253</v>
      </c>
    </row>
    <row r="71" spans="1:18" s="1516" customFormat="1" ht="13.5" thickBot="1">
      <c r="A71" s="1080" t="s">
        <v>820</v>
      </c>
      <c r="B71" s="1081" t="s">
        <v>1211</v>
      </c>
      <c r="C71" s="342" t="e">
        <f ca="1">ROUND(C68*10000/F71,0)</f>
        <v>#DIV/0!</v>
      </c>
      <c r="D71" s="1082" t="s">
        <v>1212</v>
      </c>
      <c r="E71" s="1083" t="s">
        <v>1213</v>
      </c>
      <c r="F71" s="345">
        <f ca="1">F43</f>
        <v>0</v>
      </c>
      <c r="O71" s="1560" t="s">
        <v>837</v>
      </c>
      <c r="P71" s="1599" t="s">
        <v>1310</v>
      </c>
      <c r="Q71" s="1563">
        <f ca="1">C76</f>
        <v>0</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0</v>
      </c>
      <c r="D75" s="1516"/>
      <c r="E75" s="1516"/>
      <c r="F75" s="1516"/>
      <c r="K75" s="1534"/>
      <c r="L75" s="1516"/>
      <c r="O75" s="1550" t="s">
        <v>833</v>
      </c>
      <c r="P75" s="1551" t="s">
        <v>1273</v>
      </c>
      <c r="Q75" s="1552" t="e">
        <f ca="1">Q65+Q66</f>
        <v>#DIV/0!</v>
      </c>
      <c r="R75" s="1552" t="s">
        <v>834</v>
      </c>
    </row>
    <row r="76" spans="1:18">
      <c r="B76" s="348" t="s">
        <v>1231</v>
      </c>
      <c r="C76" s="349">
        <f ca="1">INDIRECT("'数据-取费表'!j"&amp;$G$1)</f>
        <v>0</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1102</v>
      </c>
      <c r="D1" s="1494" t="s">
        <v>70</v>
      </c>
      <c r="E1" s="1495" t="s">
        <v>1111</v>
      </c>
      <c r="F1" s="1171">
        <f ca="1">J53</f>
        <v>28.54</v>
      </c>
      <c r="G1" s="1510">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7806</v>
      </c>
      <c r="C2" s="1519" t="s">
        <v>1240</v>
      </c>
      <c r="D2" s="1519"/>
      <c r="E2" s="1520"/>
      <c r="F2" s="1521"/>
      <c r="G2" s="2881"/>
      <c r="H2" s="2870"/>
      <c r="I2" s="2870"/>
      <c r="J2" s="2870"/>
      <c r="K2" s="2871"/>
      <c r="L2" s="2870"/>
      <c r="M2" s="2870"/>
    </row>
    <row r="3" spans="1:37" ht="18" customHeight="1" thickBot="1">
      <c r="A3" s="1522" t="s">
        <v>1241</v>
      </c>
      <c r="B3" s="1523">
        <f ca="1">IF(ISERROR(B2*10000/F43),0,ROUND(B2*10000/F43,0))</f>
        <v>20349</v>
      </c>
      <c r="C3" s="1519" t="s">
        <v>1242</v>
      </c>
      <c r="D3" s="1519"/>
      <c r="E3" s="1520"/>
      <c r="F3" s="1521"/>
      <c r="G3" s="2881"/>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505</v>
      </c>
      <c r="D5" s="1496" t="s">
        <v>1126</v>
      </c>
      <c r="E5" s="1181"/>
      <c r="F5" s="1182"/>
      <c r="G5" s="1516"/>
      <c r="H5" s="305">
        <v>1</v>
      </c>
      <c r="I5" s="306" t="s">
        <v>1125</v>
      </c>
      <c r="J5" s="1180">
        <f ca="1">J6+J10+J12</f>
        <v>0</v>
      </c>
      <c r="K5" s="1496" t="s">
        <v>1126</v>
      </c>
      <c r="L5" s="1181"/>
      <c r="M5" s="1182"/>
    </row>
    <row r="6" spans="1:37" ht="18" customHeight="1">
      <c r="A6" s="1179" t="s">
        <v>822</v>
      </c>
      <c r="B6" s="3504" t="s">
        <v>1127</v>
      </c>
      <c r="C6" s="1184">
        <f ca="1">ROUND(F6*F8*F7*(1-F9)/10000,0)</f>
        <v>504</v>
      </c>
      <c r="D6" s="160" t="s">
        <v>2608</v>
      </c>
      <c r="E6" s="308" t="s">
        <v>1129</v>
      </c>
      <c r="F6" s="309">
        <f ca="1">INDIRECT("'数据-取费表'!u"&amp;$G$1)</f>
        <v>4</v>
      </c>
      <c r="G6" s="1516"/>
      <c r="H6" s="1179" t="s">
        <v>822</v>
      </c>
      <c r="I6" s="3504" t="s">
        <v>1127</v>
      </c>
      <c r="J6" s="307">
        <f ca="1">ROUND(M6*M8*M7*(1-M9)/10000,0)</f>
        <v>0</v>
      </c>
      <c r="K6" s="160" t="s">
        <v>2607</v>
      </c>
      <c r="L6" s="308" t="s">
        <v>1129</v>
      </c>
      <c r="M6" s="309">
        <f ca="1">INDIRECT("'数据-取费表'!z"&amp;$G$1)</f>
        <v>0</v>
      </c>
    </row>
    <row r="7" spans="1:37" ht="18" customHeight="1">
      <c r="A7" s="1183"/>
      <c r="B7" s="3505"/>
      <c r="C7" s="1185"/>
      <c r="D7" s="313"/>
      <c r="E7" s="1186" t="s">
        <v>1130</v>
      </c>
      <c r="F7" s="309">
        <f ca="1">IF(INDIRECT("'数据-取费表'!ah"&amp;$G$1)="",INDIRECT("'数据-取费表'!k"&amp;$G$1),INDIRECT("'数据-取费表'!ah"&amp;$G$1))</f>
        <v>3836.1200000000003</v>
      </c>
      <c r="G7" s="1516"/>
      <c r="H7" s="310"/>
      <c r="I7" s="3505"/>
      <c r="J7" s="312"/>
      <c r="K7" s="313"/>
      <c r="L7" s="308" t="s">
        <v>1130</v>
      </c>
      <c r="M7" s="309">
        <f ca="1">F7</f>
        <v>3836.1200000000003</v>
      </c>
    </row>
    <row r="8" spans="1:37" ht="18" customHeight="1">
      <c r="A8" s="310"/>
      <c r="B8" s="3505"/>
      <c r="C8" s="312"/>
      <c r="D8" s="313"/>
      <c r="E8" s="308" t="s">
        <v>1131</v>
      </c>
      <c r="F8" s="309">
        <f ca="1">INDIRECT("'数据-取费表'!ai"&amp;$G$1)</f>
        <v>365</v>
      </c>
      <c r="G8" s="1516"/>
      <c r="H8" s="310"/>
      <c r="I8" s="3505"/>
      <c r="J8" s="312"/>
      <c r="K8" s="313"/>
      <c r="L8" s="308" t="s">
        <v>1131</v>
      </c>
      <c r="M8" s="309">
        <f ca="1">INDIRECT("'数据-取费表'!ai"&amp;$G$1)</f>
        <v>365</v>
      </c>
    </row>
    <row r="9" spans="1:37" ht="18" customHeight="1">
      <c r="A9" s="310"/>
      <c r="B9" s="3506"/>
      <c r="C9" s="312"/>
      <c r="D9" s="313"/>
      <c r="E9" s="308" t="s">
        <v>1132</v>
      </c>
      <c r="F9" s="318">
        <f ca="1">INDIRECT("'数据-取费表'!w"&amp;$G$1)</f>
        <v>0.1</v>
      </c>
      <c r="G9" s="1516"/>
      <c r="H9" s="310"/>
      <c r="I9" s="3506"/>
      <c r="J9" s="312"/>
      <c r="K9" s="313"/>
      <c r="L9" s="319" t="s">
        <v>1132</v>
      </c>
      <c r="M9" s="320">
        <f ca="1">INDIRECT("'数据-取费表'!ab"&amp;$G$1)</f>
        <v>0</v>
      </c>
    </row>
    <row r="10" spans="1:37" ht="18" customHeight="1">
      <c r="A10" s="1179" t="s">
        <v>826</v>
      </c>
      <c r="B10" s="1497" t="s">
        <v>1133</v>
      </c>
      <c r="C10" s="322">
        <f ca="1">ROUND(IF(F10="押一",C6/12*F11,IF(F10="押二",C6/12*2*F11,IF(F10="押三",C6/12*3*F11,C11*F11))),0)</f>
        <v>1</v>
      </c>
      <c r="D10" s="1498" t="s">
        <v>2616</v>
      </c>
      <c r="E10" s="319" t="s">
        <v>1134</v>
      </c>
      <c r="F10" s="1226" t="s">
        <v>3182</v>
      </c>
      <c r="G10" s="1516"/>
      <c r="H10" s="1179" t="s">
        <v>826</v>
      </c>
      <c r="I10" s="1497" t="s">
        <v>1133</v>
      </c>
      <c r="J10" s="307">
        <f ca="1">ROUND(IF(M10="押一",J6/12*M11,IF(M10="押二",J6/12*2*M11,IF(M10="押三",J6/12*3*M11,J11*M11))),0)</f>
        <v>0</v>
      </c>
      <c r="K10" s="1498" t="s">
        <v>2615</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2445</v>
      </c>
      <c r="D13" s="1191" t="s">
        <v>1139</v>
      </c>
      <c r="E13" s="1191" t="s">
        <v>1140</v>
      </c>
      <c r="F13" s="1192">
        <f ca="1">INDIRECT("'数据-取费表'!y"&amp;$G$1)</f>
        <v>0.93</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1726</v>
      </c>
      <c r="D14" s="1477" t="s">
        <v>1142</v>
      </c>
      <c r="E14" s="1474"/>
      <c r="F14" s="325"/>
      <c r="G14" s="1516"/>
      <c r="H14" s="1091" t="s">
        <v>822</v>
      </c>
      <c r="I14" s="308" t="s">
        <v>1143</v>
      </c>
      <c r="J14" s="24">
        <f ca="1">C29</f>
        <v>2629</v>
      </c>
      <c r="K14" s="15"/>
      <c r="L14" s="894"/>
      <c r="M14" s="895"/>
    </row>
    <row r="15" spans="1:37" s="1529" customFormat="1" ht="18" customHeight="1" thickBot="1">
      <c r="A15" s="1091" t="s">
        <v>823</v>
      </c>
      <c r="B15" s="308" t="s">
        <v>1144</v>
      </c>
      <c r="C15" s="24">
        <f ca="1">ROUND(C14*F15,0)</f>
        <v>86</v>
      </c>
      <c r="D15" s="326" t="s">
        <v>1145</v>
      </c>
      <c r="E15" s="326" t="s">
        <v>1146</v>
      </c>
      <c r="F15" s="327">
        <f>'数据-取费表'!B33</f>
        <v>0.05</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48</v>
      </c>
      <c r="K16" s="1197" t="s">
        <v>1149</v>
      </c>
      <c r="L16" s="1198"/>
      <c r="M16" s="1182"/>
    </row>
    <row r="17" spans="1:37" s="1529" customFormat="1" ht="18" customHeight="1">
      <c r="A17" s="1091" t="s">
        <v>1114</v>
      </c>
      <c r="B17" s="308" t="s">
        <v>1150</v>
      </c>
      <c r="C17" s="24">
        <f ca="1">ROUND(F17*(F43+INDIRECT("'数据-取费表'!S"&amp;$G$1))/10000,0)</f>
        <v>77</v>
      </c>
      <c r="D17" s="308" t="s">
        <v>1151</v>
      </c>
      <c r="E17" s="308" t="s">
        <v>1152</v>
      </c>
      <c r="F17" s="26">
        <f>'数据-取费表'!B35</f>
        <v>200</v>
      </c>
      <c r="G17" s="1528"/>
      <c r="H17" s="1091" t="s">
        <v>822</v>
      </c>
      <c r="I17" s="308" t="s">
        <v>1153</v>
      </c>
      <c r="J17" s="2481">
        <f ca="1">ROUND(IF(AND(项目基本情况!B11="自然人",项目基本情况!B10="北京市"),J6*M17/(1+'数据-取费表'!C42),J18+J19+J20),0)</f>
        <v>22</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26</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1915</v>
      </c>
      <c r="D19" s="136" t="s">
        <v>1160</v>
      </c>
      <c r="E19" s="1492"/>
      <c r="F19" s="26"/>
      <c r="G19" s="1516"/>
      <c r="H19" s="1091" t="s">
        <v>823</v>
      </c>
      <c r="I19" s="308" t="s">
        <v>1161</v>
      </c>
      <c r="J19" s="24">
        <f ca="1">IF(K19="按租金收入计税",ROUND(J6*M19/(1+'数据-取费表'!C42),2),ROUND(C29*M19*0.7,2))</f>
        <v>22.08</v>
      </c>
      <c r="K19" s="1502" t="s">
        <v>1162</v>
      </c>
      <c r="L19" s="308" t="s">
        <v>1146</v>
      </c>
      <c r="M19" s="328">
        <f>IF(K19="按租金收入计税",'数据-取费表'!B51,'数据-取费表'!B50)</f>
        <v>1.2E-2</v>
      </c>
    </row>
    <row r="20" spans="1:37" s="1529" customFormat="1" ht="18" customHeight="1">
      <c r="A20" s="1091" t="s">
        <v>826</v>
      </c>
      <c r="B20" s="308" t="s">
        <v>1163</v>
      </c>
      <c r="C20" s="24">
        <f ca="1">ROUND(C19*F20,0)</f>
        <v>38</v>
      </c>
      <c r="D20" s="329" t="s">
        <v>1164</v>
      </c>
      <c r="E20" s="308" t="s">
        <v>1146</v>
      </c>
      <c r="F20" s="328">
        <f>'数据-取费表'!B37</f>
        <v>0.02</v>
      </c>
      <c r="G20" s="1528"/>
      <c r="H20" s="1091" t="s">
        <v>1113</v>
      </c>
      <c r="I20" s="160" t="s">
        <v>1165</v>
      </c>
      <c r="J20" s="25">
        <f ca="1">ROUND(M20*M21/10000,2)</f>
        <v>0</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26.3</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82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-48</v>
      </c>
      <c r="K25" s="1205" t="s">
        <v>1188</v>
      </c>
      <c r="L25" s="1206"/>
      <c r="M25" s="1207"/>
    </row>
    <row r="26" spans="1:37">
      <c r="A26" s="1091" t="s">
        <v>821</v>
      </c>
      <c r="B26" s="308" t="s">
        <v>1189</v>
      </c>
      <c r="C26" s="24">
        <f ca="1">ROUND((C19+C20)*F26,0)</f>
        <v>391</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4.0000000000000001E-3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2629</v>
      </c>
      <c r="D29" s="1202"/>
      <c r="E29" s="1200"/>
      <c r="F29" s="1203"/>
      <c r="G29" s="1528"/>
      <c r="H29" s="340" t="s">
        <v>820</v>
      </c>
      <c r="I29" s="341" t="s">
        <v>1203</v>
      </c>
      <c r="J29" s="342">
        <f ca="1">ROUND(J26/(1+F40)^F41,0)</f>
        <v>0</v>
      </c>
      <c r="K29" s="343" t="s">
        <v>1204</v>
      </c>
      <c r="L29" s="344"/>
      <c r="M29" s="345">
        <f ca="1">INDIRECT("'数据-取费表'!k"&amp;$G$1)</f>
        <v>3836.1200000000003</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119</v>
      </c>
      <c r="D30" s="1197" t="s">
        <v>1149</v>
      </c>
      <c r="E30" s="1198"/>
      <c r="F30" s="1182"/>
      <c r="G30" s="1516"/>
      <c r="H30" s="2872"/>
      <c r="I30" s="1530"/>
      <c r="J30" s="1531"/>
      <c r="K30" s="2647"/>
      <c r="L30" s="2873"/>
      <c r="M30" s="2874"/>
    </row>
    <row r="31" spans="1:37" ht="18" customHeight="1">
      <c r="A31" s="1091" t="s">
        <v>822</v>
      </c>
      <c r="B31" s="308" t="s">
        <v>1153</v>
      </c>
      <c r="C31" s="2481">
        <f ca="1">ROUND(IF(AND(项目基本情况!B11="自然人",项目基本情况!B10="北京市"),C6*F31/(1+'数据-取费表'!C42),C32+C33+C34),0)</f>
        <v>84</v>
      </c>
      <c r="D31" s="1477" t="s">
        <v>1154</v>
      </c>
      <c r="E31" s="1476"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f ca="1">IF(项目基本情况!B11="自然人","——",ROUND(C6*F32/(1+'数据-取费表'!C42),2))</f>
        <v>26.4</v>
      </c>
      <c r="D32" s="1476"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f ca="1">IF(项目基本情况!B11="自然人","——",IF(D33="按租金收入计税",ROUND(C6*F33/(1+'数据-取费表'!C42),2),IF(D33="按房产原值计税",ROUND(C29*F33*0.7,2),INDIRECT("'数据-取费表'!Aj"&amp;$G$1))))</f>
        <v>57.6</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f ca="1">IF(项目基本情况!B11="自然人","——",ROUND(F34*F35/10000,2))</f>
        <v>0</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f ca="1">INDIRECT("'数据-取费表'!r"&amp;$G$1)</f>
        <v>0</v>
      </c>
      <c r="G35" s="1516"/>
      <c r="H35" s="2872"/>
      <c r="I35" s="1530"/>
      <c r="J35" s="1531"/>
      <c r="K35" s="2876"/>
      <c r="L35" s="2875"/>
      <c r="M35" s="2875"/>
    </row>
    <row r="36" spans="1:18" ht="18" customHeight="1">
      <c r="A36" s="1212" t="s">
        <v>826</v>
      </c>
      <c r="B36" s="308" t="s">
        <v>1173</v>
      </c>
      <c r="C36" s="24">
        <f ca="1">ROUND(C29*F36,1)</f>
        <v>26.3</v>
      </c>
      <c r="D36" s="1476" t="s">
        <v>1206</v>
      </c>
      <c r="E36" s="308" t="s">
        <v>1146</v>
      </c>
      <c r="F36" s="334">
        <f ca="1">INDIRECT("'数据-取费表'!Ak"&amp;$G$1)</f>
        <v>0.01</v>
      </c>
      <c r="G36" s="1516"/>
      <c r="H36" s="2875"/>
      <c r="I36" s="1530"/>
      <c r="J36" s="1531"/>
      <c r="K36" s="2716"/>
      <c r="L36" s="2875"/>
      <c r="M36" s="2875"/>
    </row>
    <row r="37" spans="1:18" ht="18" customHeight="1">
      <c r="A37" s="1091" t="s">
        <v>862</v>
      </c>
      <c r="B37" s="308" t="s">
        <v>1177</v>
      </c>
      <c r="C37" s="24">
        <f ca="1">ROUND(C13*F37,1)</f>
        <v>3.7</v>
      </c>
      <c r="D37" s="1476" t="s">
        <v>1178</v>
      </c>
      <c r="E37" s="308" t="s">
        <v>1179</v>
      </c>
      <c r="F37" s="336">
        <f ca="1">INDIRECT("'数据-取费表'!Al"&amp;$G$1)</f>
        <v>1.5E-3</v>
      </c>
      <c r="G37" s="1516"/>
      <c r="H37" s="2875"/>
      <c r="I37" s="1530"/>
      <c r="J37" s="1531"/>
      <c r="K37" s="2716"/>
      <c r="L37" s="2875"/>
      <c r="M37" s="2875"/>
    </row>
    <row r="38" spans="1:18" ht="18" customHeight="1" thickBot="1">
      <c r="A38" s="1199" t="s">
        <v>1117</v>
      </c>
      <c r="B38" s="1200" t="s">
        <v>1163</v>
      </c>
      <c r="C38" s="1201">
        <f ca="1">ROUND(C5*F38,1)</f>
        <v>5.0999999999999996</v>
      </c>
      <c r="D38" s="1202" t="s">
        <v>1183</v>
      </c>
      <c r="E38" s="1200" t="s">
        <v>1179</v>
      </c>
      <c r="F38" s="1196">
        <f ca="1">INDIRECT("'数据-取费表'!Am"&amp;$G$1)</f>
        <v>0.01</v>
      </c>
      <c r="G38" s="1516"/>
      <c r="H38" s="2875"/>
      <c r="I38" s="1530"/>
      <c r="J38" s="1531"/>
      <c r="K38" s="2879"/>
      <c r="L38" s="2875"/>
      <c r="M38" s="2875"/>
    </row>
    <row r="39" spans="1:18" ht="24.6" customHeight="1" thickTop="1">
      <c r="A39" s="1189" t="s">
        <v>818</v>
      </c>
      <c r="B39" s="1204" t="s">
        <v>1207</v>
      </c>
      <c r="C39" s="316">
        <f ca="1">C5-C30</f>
        <v>386</v>
      </c>
      <c r="D39" s="1205" t="s">
        <v>1208</v>
      </c>
      <c r="E39" s="1206"/>
      <c r="F39" s="1207"/>
      <c r="G39" s="1516"/>
      <c r="H39" s="2875"/>
      <c r="I39" s="1530"/>
      <c r="J39" s="1531"/>
      <c r="K39" s="2879"/>
      <c r="L39" s="2875"/>
      <c r="M39" s="2875"/>
    </row>
    <row r="40" spans="1:18" ht="18" customHeight="1">
      <c r="A40" s="305" t="s">
        <v>819</v>
      </c>
      <c r="B40" s="306" t="s">
        <v>1209</v>
      </c>
      <c r="C40" s="307">
        <f ca="1">ROUND(C39*(1-((1+F42)/(1+F40))^F41)/(F40-F42),0)</f>
        <v>7653</v>
      </c>
      <c r="D40" s="330" t="s">
        <v>1193</v>
      </c>
      <c r="E40" s="308" t="s">
        <v>1194</v>
      </c>
      <c r="F40" s="318">
        <f ca="1">INDIRECT("'数据-取费表'!I"&amp;$G$1)</f>
        <v>5.5E-2</v>
      </c>
      <c r="G40" s="1516"/>
      <c r="H40" s="1593"/>
      <c r="I40" s="1530"/>
      <c r="J40" s="1531"/>
      <c r="K40" s="2879"/>
      <c r="L40" s="1593"/>
      <c r="M40" s="1593"/>
    </row>
    <row r="41" spans="1:18" ht="18" customHeight="1">
      <c r="A41" s="310"/>
      <c r="B41" s="311"/>
      <c r="C41" s="312"/>
      <c r="D41" s="338" t="s">
        <v>1210</v>
      </c>
      <c r="E41" s="308" t="s">
        <v>1198</v>
      </c>
      <c r="F41" s="339">
        <f ca="1">IF(INDIRECT("'数据-取费表'!af"&amp;$G$1)=0,INDIRECT("'数据-取费表'!ae"&amp;$G$1),INDIRECT("'数据-取费表'!af"&amp;$G$1))</f>
        <v>28.54</v>
      </c>
      <c r="G41" s="1516"/>
      <c r="H41" s="1303"/>
      <c r="I41" s="1530"/>
      <c r="J41" s="1531"/>
      <c r="K41" s="2716"/>
      <c r="L41" s="1303"/>
      <c r="M41" s="1303"/>
    </row>
    <row r="42" spans="1:18" ht="18" customHeight="1">
      <c r="A42" s="314"/>
      <c r="B42" s="315"/>
      <c r="C42" s="316"/>
      <c r="D42" s="333"/>
      <c r="E42" s="308" t="s">
        <v>1201</v>
      </c>
      <c r="F42" s="318">
        <f ca="1">INDIRECT("'数据-取费表'!v"&amp;$G$1)</f>
        <v>0.03</v>
      </c>
      <c r="G42" s="1516"/>
      <c r="H42" s="1303"/>
      <c r="I42" s="1530"/>
      <c r="J42" s="1531"/>
      <c r="K42" s="2716"/>
      <c r="L42" s="1303"/>
      <c r="M42" s="1303"/>
    </row>
    <row r="43" spans="1:18" ht="18" customHeight="1" thickBot="1">
      <c r="A43" s="340" t="s">
        <v>820</v>
      </c>
      <c r="B43" s="341" t="s">
        <v>1211</v>
      </c>
      <c r="C43" s="342">
        <f ca="1">ROUND(C40*10000/F43,0)</f>
        <v>19950</v>
      </c>
      <c r="D43" s="343" t="s">
        <v>1212</v>
      </c>
      <c r="E43" s="344" t="s">
        <v>1213</v>
      </c>
      <c r="F43" s="345">
        <f ca="1">INDIRECT("'数据-取费表'!k"&amp;$G$1)</f>
        <v>3836.1200000000003</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80" t="s">
        <v>1243</v>
      </c>
      <c r="P45" s="1593"/>
      <c r="Q45" s="1593"/>
      <c r="R45" s="1593"/>
    </row>
    <row r="46" spans="1:18" s="1516" customFormat="1" ht="13.5" thickBot="1">
      <c r="A46" s="1536" t="s">
        <v>1244</v>
      </c>
      <c r="C46" s="1537">
        <f ca="1">C68-C40</f>
        <v>-11227</v>
      </c>
      <c r="D46" s="1538" t="str">
        <f>C2</f>
        <v>万元</v>
      </c>
      <c r="E46" s="1532"/>
      <c r="F46" s="1532"/>
      <c r="I46" s="1539" t="s">
        <v>1245</v>
      </c>
      <c r="J46" s="1540"/>
      <c r="K46" s="1541"/>
      <c r="L46" s="1542">
        <f ca="1">IF(M47="住宅",0,IF(L48&gt;J51,L60,J60))</f>
        <v>153</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31"/>
      <c r="I47" s="1546" t="s">
        <v>1250</v>
      </c>
      <c r="J47" s="1547" t="s">
        <v>3203</v>
      </c>
      <c r="K47" s="1548" t="s">
        <v>1251</v>
      </c>
      <c r="L47" s="1549">
        <f ca="1">INDIRECT("'数据-取费表'!d"&amp;$G$1)</f>
        <v>40</v>
      </c>
      <c r="M47" s="1512" t="str">
        <f>IF(ISNUMBER(FIND("住宅",C1)),"住宅","非住宅")</f>
        <v>非住宅</v>
      </c>
      <c r="O47" s="1550" t="s">
        <v>827</v>
      </c>
      <c r="P47" s="1551" t="s">
        <v>1252</v>
      </c>
      <c r="Q47" s="1552">
        <f ca="1">C40+J29</f>
        <v>7653</v>
      </c>
      <c r="R47" s="1552" t="s">
        <v>1253</v>
      </c>
    </row>
    <row r="48" spans="1:18" s="1516" customFormat="1" ht="28.5" thickBot="1">
      <c r="A48" s="1220" t="s">
        <v>863</v>
      </c>
      <c r="B48" s="306" t="s">
        <v>1125</v>
      </c>
      <c r="C48" s="1491">
        <f ca="1">C49+C53+C55</f>
        <v>0</v>
      </c>
      <c r="D48" s="1222"/>
      <c r="E48" s="1223"/>
      <c r="F48" s="1071"/>
      <c r="G48" s="731"/>
      <c r="H48" s="732"/>
      <c r="I48" s="1553" t="s">
        <v>1254</v>
      </c>
      <c r="J48" s="1554" t="s">
        <v>3185</v>
      </c>
      <c r="K48" s="1555" t="s">
        <v>1255</v>
      </c>
      <c r="L48" s="1556">
        <f ca="1">INDIRECT("'数据-取费表'!f"&amp;$G$1)</f>
        <v>28.54</v>
      </c>
      <c r="O48" s="1550" t="s">
        <v>828</v>
      </c>
      <c r="P48" s="1551" t="s">
        <v>1256</v>
      </c>
      <c r="Q48" s="1552">
        <f ca="1">J60</f>
        <v>153</v>
      </c>
      <c r="R48" s="1552" t="s">
        <v>1257</v>
      </c>
    </row>
    <row r="49" spans="1:18" s="1516" customFormat="1" ht="13.5" thickBot="1">
      <c r="A49" s="1084" t="s">
        <v>864</v>
      </c>
      <c r="B49" s="1503" t="s">
        <v>1214</v>
      </c>
      <c r="C49" s="1224">
        <f ca="1">ROUND(F49*F51*F50*(1-F52)/10000,0)</f>
        <v>0</v>
      </c>
      <c r="D49" s="1164" t="s">
        <v>2609</v>
      </c>
      <c r="E49" s="1504" t="s">
        <v>1215</v>
      </c>
      <c r="F49" s="1169"/>
      <c r="G49" s="1557"/>
      <c r="H49" s="732"/>
      <c r="I49" s="1553" t="s">
        <v>1258</v>
      </c>
      <c r="J49" s="1558">
        <v>2018</v>
      </c>
      <c r="K49" s="1555" t="s">
        <v>1259</v>
      </c>
      <c r="L49" s="1559"/>
      <c r="O49" s="1560" t="s">
        <v>829</v>
      </c>
      <c r="P49" s="1551" t="s">
        <v>1260</v>
      </c>
      <c r="Q49" s="1552">
        <f ca="1">C29</f>
        <v>2629</v>
      </c>
      <c r="R49" s="1552" t="s">
        <v>1253</v>
      </c>
    </row>
    <row r="50" spans="1:18" s="1516" customFormat="1" ht="13.5" thickBot="1">
      <c r="A50" s="1085"/>
      <c r="B50" s="1088"/>
      <c r="C50" s="1228"/>
      <c r="D50" s="1062"/>
      <c r="E50" s="1165" t="s">
        <v>1130</v>
      </c>
      <c r="F50" s="1166">
        <f ca="1">F7</f>
        <v>3836.1200000000003</v>
      </c>
      <c r="H50" s="732"/>
      <c r="I50" s="1553" t="s">
        <v>1261</v>
      </c>
      <c r="J50" s="1561">
        <f>SUMPRODUCT((I63:I65=J47)*(J62:L62=J48)*(J63:L65))</f>
        <v>60</v>
      </c>
      <c r="K50" s="1555" t="s">
        <v>1262</v>
      </c>
      <c r="L50" s="1559"/>
      <c r="M50" s="1562"/>
      <c r="O50" s="1560" t="s">
        <v>830</v>
      </c>
      <c r="P50" s="1551" t="s">
        <v>1263</v>
      </c>
      <c r="Q50" s="1563">
        <f ca="1">J58</f>
        <v>0.45800000000000002</v>
      </c>
      <c r="R50" s="1552"/>
    </row>
    <row r="51" spans="1:18" s="1516" customFormat="1" ht="13.5" thickBot="1">
      <c r="A51" s="1086"/>
      <c r="B51" s="1088"/>
      <c r="C51" s="1089"/>
      <c r="D51" s="1062"/>
      <c r="E51" s="1090" t="s">
        <v>1131</v>
      </c>
      <c r="F51" s="309">
        <f ca="1">F8</f>
        <v>365</v>
      </c>
      <c r="I51" s="1564" t="s">
        <v>1264</v>
      </c>
      <c r="J51" s="1565">
        <f>IF(J49="",J50,J49+J50-YEAR('数据-取费表'!B2))</f>
        <v>56</v>
      </c>
      <c r="K51" s="1566" t="s">
        <v>1265</v>
      </c>
      <c r="L51" s="1567">
        <f ca="1">ROUND(-PV(INDIRECT("'数据-取费表'!h"&amp;$G$1),J51,(C39-C13*C76),0),0)</f>
        <v>4017</v>
      </c>
      <c r="M51" s="1568"/>
      <c r="O51" s="1560" t="s">
        <v>831</v>
      </c>
      <c r="P51" s="1551" t="s">
        <v>1266</v>
      </c>
      <c r="Q51" s="1563">
        <f>J52</f>
        <v>7.4999999999999997E-2</v>
      </c>
      <c r="R51" s="1552"/>
    </row>
    <row r="52" spans="1:18" s="1516" customFormat="1" ht="13.5" thickBot="1">
      <c r="A52" s="1086"/>
      <c r="B52" s="1088"/>
      <c r="C52" s="1089"/>
      <c r="D52" s="1062"/>
      <c r="E52" s="1090" t="s">
        <v>1132</v>
      </c>
      <c r="F52" s="1163"/>
      <c r="I52" s="1569" t="s">
        <v>1267</v>
      </c>
      <c r="J52" s="1570">
        <v>7.4999999999999997E-2</v>
      </c>
      <c r="K52" s="1569" t="s">
        <v>1268</v>
      </c>
      <c r="L52" s="1570">
        <f>[3]基准地价修正!$G$24</f>
        <v>0.05</v>
      </c>
      <c r="O52" s="1560" t="s">
        <v>832</v>
      </c>
      <c r="P52" s="1551" t="s">
        <v>1269</v>
      </c>
      <c r="Q52" s="1552">
        <f ca="1">J53</f>
        <v>28.54</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f ca="1">IF(M47="住宅",IF(D1="——",MAX(J51,L48),MAX(J51,L48-'数据-取费表'!B24)),IF(D1="——",MIN(J51,L48),MIN(J51,L48-'数据-取费表'!B24)))</f>
        <v>28.54</v>
      </c>
      <c r="K53" s="3507" t="s">
        <v>1272</v>
      </c>
      <c r="L53" s="3508"/>
      <c r="O53" s="1550" t="s">
        <v>833</v>
      </c>
      <c r="P53" s="1551" t="s">
        <v>1273</v>
      </c>
      <c r="Q53" s="1552">
        <f ca="1">Q47+Q48</f>
        <v>7806</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f ca="1">ROUND(IF(J47="钢混",J57/J50,1-(1-2%)*(J50-J57)/J50),3)</f>
        <v>0.45800000000000002</v>
      </c>
      <c r="K55" s="1577" t="s">
        <v>1276</v>
      </c>
      <c r="L55" s="1578" t="s">
        <v>3204</v>
      </c>
      <c r="O55" s="1543" t="s">
        <v>1246</v>
      </c>
      <c r="P55" s="1544" t="s">
        <v>1247</v>
      </c>
      <c r="Q55" s="1545" t="s">
        <v>1248</v>
      </c>
      <c r="R55" s="1545" t="s">
        <v>1249</v>
      </c>
    </row>
    <row r="56" spans="1:18" s="1516" customFormat="1" ht="25.5" thickTop="1" thickBot="1">
      <c r="A56" s="1066">
        <v>2</v>
      </c>
      <c r="B56" s="1067" t="s">
        <v>1138</v>
      </c>
      <c r="C56" s="238">
        <f ca="1">C13</f>
        <v>2445</v>
      </c>
      <c r="D56" s="1579"/>
      <c r="E56" s="1580"/>
      <c r="F56" s="1572"/>
      <c r="I56" s="1581" t="s">
        <v>1278</v>
      </c>
      <c r="J56" s="1582" t="s">
        <v>3219</v>
      </c>
      <c r="K56" s="1553" t="s">
        <v>1279</v>
      </c>
      <c r="L56" s="1556" t="str">
        <f ca="1">IF(L48&lt;J51,"——",L48-J53)</f>
        <v>——</v>
      </c>
      <c r="O56" s="1550" t="s">
        <v>827</v>
      </c>
      <c r="P56" s="1551" t="s">
        <v>1252</v>
      </c>
      <c r="Q56" s="1552">
        <f ca="1">C40+J29</f>
        <v>7653</v>
      </c>
      <c r="R56" s="1552" t="s">
        <v>1253</v>
      </c>
    </row>
    <row r="57" spans="1:18" s="1516" customFormat="1" ht="24.75" thickBot="1">
      <c r="A57" s="1583"/>
      <c r="B57" s="1059" t="s">
        <v>1202</v>
      </c>
      <c r="C57" s="244">
        <f ca="1">C29</f>
        <v>2629</v>
      </c>
      <c r="D57" s="1584"/>
      <c r="E57" s="1585"/>
      <c r="F57" s="1586"/>
      <c r="I57" s="1587" t="s">
        <v>1280</v>
      </c>
      <c r="J57" s="1588">
        <f ca="1">IF(OR(M47="住宅",J51&lt;L48,J56="是"),"——",J51-L48)</f>
        <v>27.46</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251</v>
      </c>
      <c r="D58" s="1069" t="s">
        <v>1149</v>
      </c>
      <c r="E58" s="1070"/>
      <c r="F58" s="1071"/>
      <c r="I58" s="1587" t="s">
        <v>1284</v>
      </c>
      <c r="J58" s="1589">
        <f ca="1">IF(J55&lt;0.4,0.4,J55)</f>
        <v>0.45800000000000002</v>
      </c>
      <c r="K58" s="1566" t="s">
        <v>1285</v>
      </c>
      <c r="L58" s="1556">
        <f ca="1">ROUND(POWER(1+L52,L47-L48)*(POWER(1+L52,L48)-1)/(POWER(1+L52,L47)-1),4)</f>
        <v>0.876</v>
      </c>
      <c r="O58" s="1560" t="s">
        <v>829</v>
      </c>
      <c r="P58" s="1551" t="s">
        <v>1286</v>
      </c>
      <c r="Q58" s="1552">
        <f>IF(L55="比较法",L49,IF(L55="基准地价",L50,0))</f>
        <v>0</v>
      </c>
      <c r="R58" s="1552" t="s">
        <v>1253</v>
      </c>
    </row>
    <row r="59" spans="1:18" s="1516" customFormat="1" ht="24.75" thickBot="1">
      <c r="A59" s="1091" t="s">
        <v>822</v>
      </c>
      <c r="B59" s="1059" t="s">
        <v>1153</v>
      </c>
      <c r="C59" s="2481">
        <f ca="1">ROUND(IF(AND(项目基本情况!B11="自然人",项目基本情况!B10="北京市"),C49*F59/(1+'数据-取费表'!C42),C60+C61+C62),0)</f>
        <v>221</v>
      </c>
      <c r="D59" s="1072" t="s">
        <v>1154</v>
      </c>
      <c r="E59" s="1073" t="s">
        <v>1155</v>
      </c>
      <c r="F59" s="2480" t="str">
        <f>IF(项目基本情况!B11="企业","——",IF('数据-取费表'!B10="住宅",IF(F49*F50*F51/12/(1+'数据-取费表'!F30)&gt;100000,4%,2.5%),IF(F49*F50*F51/12/(1+'数据-取费表'!F30)&gt;100000,12%,7%)))</f>
        <v>——</v>
      </c>
      <c r="I59" s="1587" t="s">
        <v>1287</v>
      </c>
      <c r="J59" s="1588">
        <f ca="1">IF(OR(M47="住宅",J51&lt;L48,J56="是"),"——",ROUND(C29*J58,0))</f>
        <v>1204</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f ca="1">ROUND(IF(D1="在建（套用方法）",M59,IF(D1="土地（套用方法）",N59,POWER(1+L52,L47-J51)*(POWER(1+L52,J51)-1)/(POWER(1+L52,L47)-1))),4)</f>
        <v>1.0896999999999999</v>
      </c>
      <c r="M59" s="1512">
        <f ca="1">ROUND(POWER(1+L52,L47-(J51+'数据-取费表'!B24))*(POWER(1+L52,(J51+'数据-取费表'!B24))-1)/(POWER(1+L52,L47)-1),4)</f>
        <v>1.0896999999999999</v>
      </c>
      <c r="N59" s="1512">
        <f ca="1">ROUND(POWER(1+L52,L47-(J51+'数据-取费表'!B20))*(POWER(1+L52,(J51+'数据-取费表'!B20))-1)/(POWER(1+L52,L47)-1),4)</f>
        <v>1.0968</v>
      </c>
      <c r="O59" s="1560" t="s">
        <v>830</v>
      </c>
      <c r="P59" s="1551" t="s">
        <v>1288</v>
      </c>
      <c r="Q59" s="1563">
        <f>L52</f>
        <v>0.05</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5.5000000000000007E-2</v>
      </c>
      <c r="I60" s="1590" t="s">
        <v>1289</v>
      </c>
      <c r="J60" s="1591">
        <f ca="1">IF(OR(M47="住宅",J51&lt;L48,J56="是"),"0",ROUND(J59/(1+J52)^J53,0))</f>
        <v>153</v>
      </c>
      <c r="K60" s="1592" t="s">
        <v>1290</v>
      </c>
      <c r="L60" s="1591">
        <f ca="1">IF(OR(M47="住宅",L48&lt;J51),0,ROUND(L57*(L58/L59-1),0))</f>
        <v>0</v>
      </c>
      <c r="O60" s="1560" t="s">
        <v>831</v>
      </c>
      <c r="P60" s="1551" t="s">
        <v>1291</v>
      </c>
      <c r="Q60" s="1552">
        <f ca="1">L58</f>
        <v>0.876</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220.84</v>
      </c>
      <c r="D61" s="1502" t="s">
        <v>1162</v>
      </c>
      <c r="E61" s="1059" t="s">
        <v>1218</v>
      </c>
      <c r="F61" s="328">
        <f t="shared" si="0"/>
        <v>0.12</v>
      </c>
      <c r="I61" s="1593"/>
      <c r="J61" s="1593"/>
      <c r="K61" s="1593"/>
      <c r="L61" s="1593"/>
      <c r="O61" s="1560" t="s">
        <v>832</v>
      </c>
      <c r="P61" s="1551" t="str">
        <f>K59</f>
        <v>建筑物剩余耐用年限下的土地年期修正系数Kn</v>
      </c>
      <c r="Q61" s="1552">
        <f ca="1">L59</f>
        <v>1.0896999999999999</v>
      </c>
      <c r="R61" s="1552" t="s">
        <v>1293</v>
      </c>
    </row>
    <row r="62" spans="1:18" s="1516" customFormat="1" ht="13.5" thickBot="1">
      <c r="A62" s="1091" t="s">
        <v>1219</v>
      </c>
      <c r="B62" s="1058" t="s">
        <v>1220</v>
      </c>
      <c r="C62" s="25">
        <f ca="1">IF(项目基本情况!B11="自然人","——",ROUND(F62*F63/10000,2))</f>
        <v>0</v>
      </c>
      <c r="D62" s="1074" t="s">
        <v>1221</v>
      </c>
      <c r="E62" s="1059" t="s">
        <v>1222</v>
      </c>
      <c r="F62" s="331">
        <f t="shared" si="0"/>
        <v>1.5</v>
      </c>
      <c r="I62" s="1594" t="s">
        <v>1294</v>
      </c>
      <c r="J62" s="1595" t="s">
        <v>1295</v>
      </c>
      <c r="K62" s="1595" t="s">
        <v>1296</v>
      </c>
      <c r="L62" s="1595" t="s">
        <v>1297</v>
      </c>
      <c r="M62" s="1596" t="s">
        <v>1298</v>
      </c>
      <c r="O62" s="1550" t="s">
        <v>833</v>
      </c>
      <c r="P62" s="1551" t="s">
        <v>1299</v>
      </c>
      <c r="Q62" s="1552">
        <f ca="1">Q56+Q57</f>
        <v>7653</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26.3</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3.7</v>
      </c>
      <c r="D65" s="1073" t="s">
        <v>1178</v>
      </c>
      <c r="E65" s="1059" t="s">
        <v>1179</v>
      </c>
      <c r="F65" s="336">
        <f t="shared" ca="1" si="0"/>
        <v>1.5E-3</v>
      </c>
      <c r="I65" s="1594" t="s">
        <v>1303</v>
      </c>
      <c r="J65" s="1595">
        <v>40</v>
      </c>
      <c r="K65" s="1595">
        <v>30</v>
      </c>
      <c r="L65" s="1595">
        <v>50</v>
      </c>
      <c r="M65" s="1597">
        <v>0.02</v>
      </c>
      <c r="O65" s="1550" t="s">
        <v>827</v>
      </c>
      <c r="P65" s="1551" t="s">
        <v>1304</v>
      </c>
      <c r="Q65" s="1552">
        <f ca="1">C40+J29</f>
        <v>7653</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-251</v>
      </c>
      <c r="D67" s="1072" t="s">
        <v>1188</v>
      </c>
      <c r="E67" s="1077"/>
      <c r="F67" s="1078"/>
      <c r="O67" s="1560" t="s">
        <v>829</v>
      </c>
      <c r="P67" s="1551" t="s">
        <v>1286</v>
      </c>
      <c r="Q67" s="1598">
        <f ca="1">L51</f>
        <v>4017</v>
      </c>
      <c r="R67" s="1552" t="s">
        <v>1306</v>
      </c>
    </row>
    <row r="68" spans="1:18" s="1516" customFormat="1" ht="16.5" thickBot="1">
      <c r="A68" s="1056" t="s">
        <v>819</v>
      </c>
      <c r="B68" s="1057" t="s">
        <v>1209</v>
      </c>
      <c r="C68" s="307">
        <f ca="1">ROUND(C67*(1-((1+F70)/(1+F68))^F69)/(F68-F70),0)</f>
        <v>-3574</v>
      </c>
      <c r="D68" s="1074" t="s">
        <v>1193</v>
      </c>
      <c r="E68" s="1059" t="s">
        <v>1194</v>
      </c>
      <c r="F68" s="318">
        <f ca="1">F40</f>
        <v>5.5E-2</v>
      </c>
      <c r="O68" s="1560" t="s">
        <v>830</v>
      </c>
      <c r="P68" s="1599" t="s">
        <v>1307</v>
      </c>
      <c r="Q68" s="1552">
        <f ca="1">ROUND(Q69-Q70*Q71,0)</f>
        <v>215</v>
      </c>
      <c r="R68" s="1552" t="s">
        <v>838</v>
      </c>
    </row>
    <row r="69" spans="1:18" s="1516" customFormat="1" ht="13.5" thickBot="1">
      <c r="A69" s="1060"/>
      <c r="B69" s="1061"/>
      <c r="C69" s="312"/>
      <c r="D69" s="1079" t="s">
        <v>1197</v>
      </c>
      <c r="E69" s="1059" t="s">
        <v>1198</v>
      </c>
      <c r="F69" s="339">
        <f ca="1">F41</f>
        <v>28.54</v>
      </c>
      <c r="O69" s="1560" t="s">
        <v>835</v>
      </c>
      <c r="P69" s="1599" t="s">
        <v>1308</v>
      </c>
      <c r="Q69" s="1552">
        <f ca="1">C39</f>
        <v>386</v>
      </c>
      <c r="R69" s="1552" t="s">
        <v>1253</v>
      </c>
    </row>
    <row r="70" spans="1:18" s="1516" customFormat="1" ht="13.5" thickBot="1">
      <c r="A70" s="1063"/>
      <c r="B70" s="1064"/>
      <c r="C70" s="316"/>
      <c r="D70" s="1075"/>
      <c r="E70" s="1059" t="s">
        <v>1201</v>
      </c>
      <c r="F70" s="1163"/>
      <c r="O70" s="1560" t="s">
        <v>836</v>
      </c>
      <c r="P70" s="1599" t="s">
        <v>1309</v>
      </c>
      <c r="Q70" s="1552">
        <f ca="1">C13</f>
        <v>2445</v>
      </c>
      <c r="R70" s="1552" t="s">
        <v>1253</v>
      </c>
    </row>
    <row r="71" spans="1:18" s="1516" customFormat="1" ht="13.5" thickBot="1">
      <c r="A71" s="1080" t="s">
        <v>820</v>
      </c>
      <c r="B71" s="1081" t="s">
        <v>1211</v>
      </c>
      <c r="C71" s="342">
        <f ca="1">ROUND(C68*10000/F71,0)</f>
        <v>-9317</v>
      </c>
      <c r="D71" s="1082" t="s">
        <v>1212</v>
      </c>
      <c r="E71" s="1083" t="s">
        <v>1213</v>
      </c>
      <c r="F71" s="345">
        <f ca="1">F43</f>
        <v>3836.1200000000003</v>
      </c>
      <c r="O71" s="1560" t="s">
        <v>837</v>
      </c>
      <c r="P71" s="1599" t="s">
        <v>1310</v>
      </c>
      <c r="Q71" s="1563">
        <f ca="1">C76</f>
        <v>7.0000000000000007E-2</v>
      </c>
      <c r="R71" s="1552"/>
    </row>
    <row r="72" spans="1:18" s="1516" customFormat="1" ht="13.5" thickBot="1">
      <c r="B72" s="735"/>
      <c r="C72" s="735"/>
      <c r="O72" s="1560" t="s">
        <v>831</v>
      </c>
      <c r="P72" s="1551" t="s">
        <v>1288</v>
      </c>
      <c r="Q72" s="1563">
        <f>L52</f>
        <v>0.05</v>
      </c>
      <c r="R72" s="1552"/>
    </row>
    <row r="73" spans="1:18" ht="16.5" thickBot="1">
      <c r="A73" s="1516"/>
      <c r="B73" s="735"/>
      <c r="C73" s="735"/>
      <c r="D73" s="1516"/>
      <c r="E73" s="1516"/>
      <c r="F73" s="1516"/>
      <c r="O73" s="1560" t="s">
        <v>832</v>
      </c>
      <c r="P73" s="1551" t="s">
        <v>1291</v>
      </c>
      <c r="Q73" s="1552">
        <f ca="1">L58</f>
        <v>0.876</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f ca="1">L59</f>
        <v>1.0896999999999999</v>
      </c>
      <c r="R74" s="1552" t="s">
        <v>1293</v>
      </c>
    </row>
    <row r="75" spans="1:18" ht="13.5" thickBot="1">
      <c r="A75" s="1516"/>
      <c r="B75" s="346" t="s">
        <v>1230</v>
      </c>
      <c r="C75" s="347">
        <f ca="1">ROUND(C13*C76,0)</f>
        <v>171</v>
      </c>
      <c r="D75" s="1516"/>
      <c r="E75" s="1516"/>
      <c r="F75" s="1516"/>
      <c r="K75" s="1534"/>
      <c r="L75" s="1516"/>
      <c r="O75" s="1550" t="s">
        <v>833</v>
      </c>
      <c r="P75" s="1551" t="s">
        <v>1273</v>
      </c>
      <c r="Q75" s="1552">
        <f ca="1">Q65+Q66</f>
        <v>7653</v>
      </c>
      <c r="R75" s="1552" t="s">
        <v>834</v>
      </c>
    </row>
    <row r="76" spans="1:18">
      <c r="B76" s="348" t="s">
        <v>1231</v>
      </c>
      <c r="C76" s="349">
        <f ca="1">INDIRECT("'数据-取费表'!j"&amp;$G$1)</f>
        <v>7.0000000000000007E-2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0.55699999999999994</v>
      </c>
    </row>
    <row r="80" spans="1:18">
      <c r="B80" s="346" t="s">
        <v>1235</v>
      </c>
      <c r="C80" s="280">
        <f ca="1">ROUND(C75/C39,3)</f>
        <v>0.443</v>
      </c>
    </row>
    <row r="81" spans="2:3">
      <c r="B81" s="276" t="s">
        <v>1236</v>
      </c>
      <c r="C81" s="244"/>
    </row>
    <row r="82" spans="2:3">
      <c r="B82" s="279" t="s">
        <v>1237</v>
      </c>
      <c r="C82" s="281">
        <f ca="1">1-C83</f>
        <v>0.68100000000000005</v>
      </c>
    </row>
    <row r="83" spans="2:3">
      <c r="B83" s="279" t="s">
        <v>1238</v>
      </c>
      <c r="C83" s="280">
        <f ca="1">ROUND(C13/C40,3)</f>
        <v>0.31900000000000001</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3214</v>
      </c>
      <c r="D1" s="1494" t="s">
        <v>70</v>
      </c>
      <c r="E1" s="1495" t="s">
        <v>1111</v>
      </c>
      <c r="F1" s="1171" t="e">
        <f ca="1">J53</f>
        <v>#N/A</v>
      </c>
      <c r="G1" s="1510" t="e">
        <f>MATCH(C1,'数据-取费表'!A6:A16,0)+5</f>
        <v>#N/A</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t="e">
        <f ca="1">C40+J29+L46</f>
        <v>#N/A</v>
      </c>
      <c r="C2" s="1519" t="s">
        <v>1240</v>
      </c>
      <c r="D2" s="1519"/>
      <c r="E2" s="1520"/>
      <c r="F2" s="1521"/>
      <c r="G2" s="2881"/>
      <c r="H2" s="2870"/>
      <c r="I2" s="2870"/>
      <c r="J2" s="2870"/>
      <c r="K2" s="2871"/>
      <c r="L2" s="2870"/>
      <c r="M2" s="2870"/>
    </row>
    <row r="3" spans="1:37" ht="18" customHeight="1" thickBot="1">
      <c r="A3" s="1522" t="s">
        <v>1241</v>
      </c>
      <c r="B3" s="1523">
        <f ca="1">IF(ISERROR(B2*10000/F43),0,ROUND(B2*10000/F43,0))</f>
        <v>0</v>
      </c>
      <c r="C3" s="1519" t="s">
        <v>1242</v>
      </c>
      <c r="D3" s="1519"/>
      <c r="E3" s="1520"/>
      <c r="F3" s="1521"/>
      <c r="G3" s="2881"/>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t="e">
        <f ca="1">C6+C10+C12</f>
        <v>#N/A</v>
      </c>
      <c r="D5" s="1496" t="s">
        <v>1126</v>
      </c>
      <c r="E5" s="1181"/>
      <c r="F5" s="1182"/>
      <c r="G5" s="1516"/>
      <c r="H5" s="305">
        <v>1</v>
      </c>
      <c r="I5" s="306" t="s">
        <v>1125</v>
      </c>
      <c r="J5" s="1180" t="e">
        <f ca="1">J6+J10+J12</f>
        <v>#N/A</v>
      </c>
      <c r="K5" s="1496" t="s">
        <v>1126</v>
      </c>
      <c r="L5" s="1181"/>
      <c r="M5" s="1182"/>
    </row>
    <row r="6" spans="1:37" ht="18" customHeight="1">
      <c r="A6" s="1179" t="s">
        <v>822</v>
      </c>
      <c r="B6" s="3504" t="s">
        <v>1127</v>
      </c>
      <c r="C6" s="1184" t="e">
        <f ca="1">ROUND(F6*F8*F7*(1-F9)/10000,0)</f>
        <v>#N/A</v>
      </c>
      <c r="D6" s="160" t="s">
        <v>2608</v>
      </c>
      <c r="E6" s="308" t="s">
        <v>1129</v>
      </c>
      <c r="F6" s="309" t="e">
        <f ca="1">INDIRECT("'数据-取费表'!u"&amp;$G$1)</f>
        <v>#N/A</v>
      </c>
      <c r="G6" s="1516"/>
      <c r="H6" s="1179" t="s">
        <v>822</v>
      </c>
      <c r="I6" s="3504" t="s">
        <v>1127</v>
      </c>
      <c r="J6" s="307" t="e">
        <f ca="1">ROUND(M6*M8*M7*(1-M9)/10000,0)</f>
        <v>#N/A</v>
      </c>
      <c r="K6" s="160" t="s">
        <v>2607</v>
      </c>
      <c r="L6" s="308" t="s">
        <v>1129</v>
      </c>
      <c r="M6" s="309" t="e">
        <f ca="1">INDIRECT("'数据-取费表'!z"&amp;$G$1)</f>
        <v>#N/A</v>
      </c>
    </row>
    <row r="7" spans="1:37" ht="18" customHeight="1">
      <c r="A7" s="1183"/>
      <c r="B7" s="3505"/>
      <c r="C7" s="1185"/>
      <c r="D7" s="313"/>
      <c r="E7" s="3264" t="s">
        <v>1130</v>
      </c>
      <c r="F7" s="309" t="e">
        <f ca="1">IF(INDIRECT("'数据-取费表'!ah"&amp;$G$1)="",INDIRECT("'数据-取费表'!k"&amp;$G$1),INDIRECT("'数据-取费表'!ah"&amp;$G$1))</f>
        <v>#N/A</v>
      </c>
      <c r="G7" s="1516"/>
      <c r="H7" s="310"/>
      <c r="I7" s="3505"/>
      <c r="J7" s="312"/>
      <c r="K7" s="313"/>
      <c r="L7" s="308" t="s">
        <v>1130</v>
      </c>
      <c r="M7" s="309" t="e">
        <f ca="1">F7</f>
        <v>#N/A</v>
      </c>
    </row>
    <row r="8" spans="1:37" ht="18" customHeight="1">
      <c r="A8" s="310"/>
      <c r="B8" s="3505"/>
      <c r="C8" s="312"/>
      <c r="D8" s="313"/>
      <c r="E8" s="308" t="s">
        <v>1131</v>
      </c>
      <c r="F8" s="309" t="e">
        <f ca="1">INDIRECT("'数据-取费表'!ai"&amp;$G$1)</f>
        <v>#N/A</v>
      </c>
      <c r="G8" s="1516"/>
      <c r="H8" s="310"/>
      <c r="I8" s="3505"/>
      <c r="J8" s="312"/>
      <c r="K8" s="313"/>
      <c r="L8" s="308" t="s">
        <v>1131</v>
      </c>
      <c r="M8" s="309" t="e">
        <f ca="1">INDIRECT("'数据-取费表'!ai"&amp;$G$1)</f>
        <v>#N/A</v>
      </c>
    </row>
    <row r="9" spans="1:37" ht="18" customHeight="1">
      <c r="A9" s="310"/>
      <c r="B9" s="3506"/>
      <c r="C9" s="312"/>
      <c r="D9" s="313"/>
      <c r="E9" s="308" t="s">
        <v>1132</v>
      </c>
      <c r="F9" s="318" t="e">
        <f ca="1">INDIRECT("'数据-取费表'!w"&amp;$G$1)</f>
        <v>#N/A</v>
      </c>
      <c r="G9" s="1516"/>
      <c r="H9" s="310"/>
      <c r="I9" s="3506"/>
      <c r="J9" s="312"/>
      <c r="K9" s="313"/>
      <c r="L9" s="319" t="s">
        <v>1132</v>
      </c>
      <c r="M9" s="320" t="e">
        <f ca="1">INDIRECT("'数据-取费表'!ab"&amp;$G$1)</f>
        <v>#N/A</v>
      </c>
    </row>
    <row r="10" spans="1:37" ht="18" customHeight="1">
      <c r="A10" s="1179" t="s">
        <v>826</v>
      </c>
      <c r="B10" s="1497" t="s">
        <v>1133</v>
      </c>
      <c r="C10" s="322">
        <f ca="1">ROUND(IF(F10="押一",C6/12*F11,IF(F10="押二",C6/12*2*F11,IF(F10="押三",C6/12*3*F11,C11*F11))),0)</f>
        <v>0</v>
      </c>
      <c r="D10" s="1498" t="s">
        <v>2615</v>
      </c>
      <c r="E10" s="319" t="s">
        <v>1134</v>
      </c>
      <c r="F10" s="1226" t="s">
        <v>3193</v>
      </c>
      <c r="G10" s="1516"/>
      <c r="H10" s="1179" t="s">
        <v>826</v>
      </c>
      <c r="I10" s="1497" t="s">
        <v>1133</v>
      </c>
      <c r="J10" s="307" t="e">
        <f ca="1">ROUND(IF(M10="押一",J6/12*M11,IF(M10="押二",J6/12*2*M11,IF(M10="押三",J6/12*3*M11,J11*M11))),0)</f>
        <v>#N/A</v>
      </c>
      <c r="K10" s="1498" t="s">
        <v>2615</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t="e">
        <f ca="1">ROUND(C29*F13,0)</f>
        <v>#N/A</v>
      </c>
      <c r="D13" s="3258" t="s">
        <v>1139</v>
      </c>
      <c r="E13" s="3258" t="s">
        <v>1140</v>
      </c>
      <c r="F13" s="1192" t="e">
        <f ca="1">INDIRECT("'数据-取费表'!y"&amp;$G$1)</f>
        <v>#N/A</v>
      </c>
      <c r="G13" s="1516"/>
      <c r="H13" s="1189">
        <v>2</v>
      </c>
      <c r="I13" s="1190" t="s">
        <v>1138</v>
      </c>
      <c r="J13" s="1178" t="e">
        <f ca="1">ROUND(J14*J15,0)</f>
        <v>#N/A</v>
      </c>
      <c r="K13" s="1197" t="s">
        <v>1139</v>
      </c>
      <c r="L13" s="1524"/>
      <c r="M13" s="1525"/>
    </row>
    <row r="14" spans="1:37" ht="18" customHeight="1">
      <c r="A14" s="1091" t="s">
        <v>821</v>
      </c>
      <c r="B14" s="308" t="s">
        <v>1141</v>
      </c>
      <c r="C14" s="324" t="e">
        <f ca="1">INDIRECT("'数据-取费表'!m"&amp;$G$1)+INDIRECT("'数据-取费表'!t"&amp;$G$1)</f>
        <v>#N/A</v>
      </c>
      <c r="D14" s="3261" t="s">
        <v>1142</v>
      </c>
      <c r="E14" s="3262"/>
      <c r="F14" s="325"/>
      <c r="G14" s="1516"/>
      <c r="H14" s="1091" t="s">
        <v>822</v>
      </c>
      <c r="I14" s="308" t="s">
        <v>1143</v>
      </c>
      <c r="J14" s="24" t="e">
        <f ca="1">C29</f>
        <v>#N/A</v>
      </c>
      <c r="K14" s="3263"/>
      <c r="L14" s="894"/>
      <c r="M14" s="895"/>
    </row>
    <row r="15" spans="1:37" s="1529" customFormat="1" ht="18" customHeight="1" thickBot="1">
      <c r="A15" s="1091" t="s">
        <v>823</v>
      </c>
      <c r="B15" s="308" t="s">
        <v>1144</v>
      </c>
      <c r="C15" s="24" t="e">
        <f ca="1">ROUND(C14*F15,0)</f>
        <v>#N/A</v>
      </c>
      <c r="D15" s="3259" t="s">
        <v>1145</v>
      </c>
      <c r="E15" s="3259" t="s">
        <v>1146</v>
      </c>
      <c r="F15" s="327">
        <f>'数据-取费表'!B33</f>
        <v>0.05</v>
      </c>
      <c r="G15" s="1528"/>
      <c r="H15" s="1199" t="s">
        <v>826</v>
      </c>
      <c r="I15" s="1200" t="s">
        <v>1140</v>
      </c>
      <c r="J15" s="1209" t="e">
        <f ca="1">INDIRECT("'数据-取费表'!ad"&amp;$G$1)</f>
        <v>#N/A</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t="e">
        <f ca="1">ROUND(INDIRECT("'数据-取费表'!m"&amp;$G$1)*F16,0)</f>
        <v>#N/A</v>
      </c>
      <c r="D16" s="308" t="s">
        <v>1145</v>
      </c>
      <c r="E16" s="308" t="s">
        <v>1146</v>
      </c>
      <c r="F16" s="328" t="e">
        <f ca="1">IF(INDIRECT("'数据-取费表'!c"&amp;$G$1)="住宅",'数据-取费表'!B34,0)</f>
        <v>#N/A</v>
      </c>
      <c r="G16" s="1516"/>
      <c r="H16" s="1189" t="s">
        <v>817</v>
      </c>
      <c r="I16" s="1190" t="s">
        <v>1148</v>
      </c>
      <c r="J16" s="316" t="e">
        <f ca="1">ROUND(J17+J22+J23+J24,0)</f>
        <v>#N/A</v>
      </c>
      <c r="K16" s="1197" t="s">
        <v>1149</v>
      </c>
      <c r="L16" s="3266"/>
      <c r="M16" s="1182"/>
    </row>
    <row r="17" spans="1:37" s="1529" customFormat="1" ht="18" customHeight="1">
      <c r="A17" s="1091" t="s">
        <v>1114</v>
      </c>
      <c r="B17" s="308" t="s">
        <v>1150</v>
      </c>
      <c r="C17" s="24" t="e">
        <f ca="1">ROUND(F17*(F43+INDIRECT("'数据-取费表'!S"&amp;$G$1))/10000,0)</f>
        <v>#N/A</v>
      </c>
      <c r="D17" s="308" t="s">
        <v>1151</v>
      </c>
      <c r="E17" s="308" t="s">
        <v>1152</v>
      </c>
      <c r="F17" s="26">
        <f>'数据-取费表'!B35</f>
        <v>200</v>
      </c>
      <c r="G17" s="1528"/>
      <c r="H17" s="1091" t="s">
        <v>822</v>
      </c>
      <c r="I17" s="308" t="s">
        <v>1153</v>
      </c>
      <c r="J17" s="2481" t="e">
        <f ca="1">ROUND(IF(AND(项目基本情况!B11="自然人",项目基本情况!B10="北京市"),J6*M17/(1+'数据-取费表'!C42),J18+J19+J20),0)</f>
        <v>#N/A</v>
      </c>
      <c r="K17" s="3261" t="s">
        <v>1154</v>
      </c>
      <c r="L17" s="3265"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t="e">
        <f ca="1">ROUND(C14*F18,0)</f>
        <v>#N/A</v>
      </c>
      <c r="D18" s="308" t="s">
        <v>1145</v>
      </c>
      <c r="E18" s="308" t="s">
        <v>1146</v>
      </c>
      <c r="F18" s="328">
        <f>'数据-取费表'!B36</f>
        <v>1.4999999999999999E-2</v>
      </c>
      <c r="G18" s="1528"/>
      <c r="H18" s="1091" t="s">
        <v>821</v>
      </c>
      <c r="I18" s="308" t="s">
        <v>1157</v>
      </c>
      <c r="J18" s="24" t="e">
        <f ca="1">ROUND(J6*M18/(1+'数据-取费表'!C42),2)</f>
        <v>#N/A</v>
      </c>
      <c r="K18" s="3265"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t="e">
        <f ca="1">SUM(C14:C18)</f>
        <v>#N/A</v>
      </c>
      <c r="D19" s="136" t="s">
        <v>1160</v>
      </c>
      <c r="E19" s="3268"/>
      <c r="F19" s="26"/>
      <c r="G19" s="1516"/>
      <c r="H19" s="1091" t="s">
        <v>823</v>
      </c>
      <c r="I19" s="308" t="s">
        <v>1161</v>
      </c>
      <c r="J19" s="24" t="e">
        <f ca="1">IF(K19="按租金收入计税",ROUND(J6*M19/(1+'数据-取费表'!C42),2),ROUND(C29*M19*0.7,2))</f>
        <v>#N/A</v>
      </c>
      <c r="K19" s="1502" t="s">
        <v>1162</v>
      </c>
      <c r="L19" s="308" t="s">
        <v>1146</v>
      </c>
      <c r="M19" s="328">
        <f>IF(K19="按租金收入计税",'数据-取费表'!B51,'数据-取费表'!B50)</f>
        <v>1.2E-2</v>
      </c>
    </row>
    <row r="20" spans="1:37" s="1529" customFormat="1" ht="18" customHeight="1">
      <c r="A20" s="1091" t="s">
        <v>826</v>
      </c>
      <c r="B20" s="308" t="s">
        <v>1163</v>
      </c>
      <c r="C20" s="24" t="e">
        <f ca="1">ROUND(C19*F20,0)</f>
        <v>#N/A</v>
      </c>
      <c r="D20" s="329" t="s">
        <v>1164</v>
      </c>
      <c r="E20" s="308" t="s">
        <v>1146</v>
      </c>
      <c r="F20" s="328">
        <f>'数据-取费表'!B37</f>
        <v>0.02</v>
      </c>
      <c r="G20" s="1528"/>
      <c r="H20" s="1091" t="s">
        <v>1113</v>
      </c>
      <c r="I20" s="160" t="s">
        <v>1165</v>
      </c>
      <c r="J20" s="25" t="e">
        <f ca="1">ROUND(M20*M21/10000,2)</f>
        <v>#N/A</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t="e">
        <f ca="1">INDIRECT("'数据-取费表'!r"&amp;$G$1)</f>
        <v>#N/A</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68"/>
      <c r="F22" s="26"/>
      <c r="G22" s="1516"/>
      <c r="H22" s="1091" t="s">
        <v>826</v>
      </c>
      <c r="I22" s="308" t="s">
        <v>1173</v>
      </c>
      <c r="J22" s="24" t="e">
        <f ca="1">ROUND(J14*M22,1)</f>
        <v>#N/A</v>
      </c>
      <c r="K22" s="3265" t="s">
        <v>1174</v>
      </c>
      <c r="L22" s="308" t="s">
        <v>1146</v>
      </c>
      <c r="M22" s="334" t="e">
        <f ca="1">INDIRECT("'数据-取费表'!Ak"&amp;$G$1)</f>
        <v>#N/A</v>
      </c>
    </row>
    <row r="23" spans="1:37" s="1529" customFormat="1" ht="18" customHeight="1">
      <c r="A23" s="1091"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t="e">
        <f ca="1">ROUND(J13*M23,1)</f>
        <v>#N/A</v>
      </c>
      <c r="K23" s="3265" t="s">
        <v>1178</v>
      </c>
      <c r="L23" s="308" t="s">
        <v>1146</v>
      </c>
      <c r="M23" s="336" t="e">
        <f ca="1">INDIRECT("'数据-取费表'!Al"&amp;$G$1)</f>
        <v>#N/A</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t="e">
        <f ca="1">ROUND(J5*M24,1)</f>
        <v>#N/A</v>
      </c>
      <c r="K24" s="1202" t="s">
        <v>1183</v>
      </c>
      <c r="L24" s="1200" t="s">
        <v>1146</v>
      </c>
      <c r="M24" s="1196" t="e">
        <f ca="1">INDIRECT("'数据-取费表'!Am"&amp;$G$1)</f>
        <v>#N/A</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3268"/>
      <c r="F25" s="26"/>
      <c r="G25" s="1516"/>
      <c r="H25" s="1189" t="s">
        <v>818</v>
      </c>
      <c r="I25" s="1204" t="s">
        <v>1187</v>
      </c>
      <c r="J25" s="316" t="e">
        <f ca="1">J5-J16</f>
        <v>#N/A</v>
      </c>
      <c r="K25" s="1205" t="s">
        <v>1188</v>
      </c>
      <c r="L25" s="1206"/>
      <c r="M25" s="1207"/>
    </row>
    <row r="26" spans="1:37">
      <c r="A26" s="1091" t="s">
        <v>821</v>
      </c>
      <c r="B26" s="308" t="s">
        <v>1189</v>
      </c>
      <c r="C26" s="24" t="e">
        <f ca="1">ROUND((C19+C20)*F26,0)</f>
        <v>#N/A</v>
      </c>
      <c r="D26" s="329" t="s">
        <v>1190</v>
      </c>
      <c r="E26" s="319" t="s">
        <v>1191</v>
      </c>
      <c r="F26" s="318" t="e">
        <f ca="1">INDIRECT("'数据-取费表'!q"&amp;$G$1)</f>
        <v>#N/A</v>
      </c>
      <c r="G26" s="1516"/>
      <c r="H26" s="305" t="s">
        <v>819</v>
      </c>
      <c r="I26" s="306" t="s">
        <v>1192</v>
      </c>
      <c r="J26" s="307" t="e">
        <f ca="1">IF(J5&lt;&gt;0,ROUND(J25*(1-((1+M28)/(1+M26))^M27)/(M26-M28),0),0)</f>
        <v>#N/A</v>
      </c>
      <c r="K26" s="330" t="s">
        <v>1193</v>
      </c>
      <c r="L26" s="308" t="s">
        <v>1194</v>
      </c>
      <c r="M26" s="318" t="e">
        <f ca="1">INDIRECT("'数据-取费表'!I"&amp;$G$1)</f>
        <v>#N/A</v>
      </c>
    </row>
    <row r="27" spans="1:37" ht="18" customHeight="1">
      <c r="A27" s="1091" t="s">
        <v>823</v>
      </c>
      <c r="B27" s="308" t="s">
        <v>1195</v>
      </c>
      <c r="C27" s="24" t="e">
        <f ca="1">ROUND(F21*F26,4)</f>
        <v>#N/A</v>
      </c>
      <c r="D27" s="329" t="s">
        <v>1196</v>
      </c>
      <c r="E27" s="3259"/>
      <c r="F27" s="327"/>
      <c r="G27" s="1516"/>
      <c r="H27" s="310"/>
      <c r="I27" s="311"/>
      <c r="J27" s="312"/>
      <c r="K27" s="338" t="s">
        <v>1197</v>
      </c>
      <c r="L27" s="308" t="s">
        <v>1198</v>
      </c>
      <c r="M27" s="339" t="e">
        <f ca="1">INDIRECT("'数据-取费表'!ag"&amp;$G$1)</f>
        <v>#N/A</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t="e">
        <f ca="1">INDIRECT("'数据-取费表'!aa"&amp;$G$1)</f>
        <v>#N/A</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t="e">
        <f ca="1">ROUND((C19+C20+C23+C26)/(1-F21-C24-C27-C28),0)</f>
        <v>#N/A</v>
      </c>
      <c r="D29" s="1202"/>
      <c r="E29" s="1200"/>
      <c r="F29" s="1203"/>
      <c r="G29" s="1528"/>
      <c r="H29" s="340" t="s">
        <v>820</v>
      </c>
      <c r="I29" s="341" t="s">
        <v>1203</v>
      </c>
      <c r="J29" s="342" t="e">
        <f ca="1">ROUND(J26/(1+F40)^F41,0)</f>
        <v>#N/A</v>
      </c>
      <c r="K29" s="343" t="s">
        <v>1204</v>
      </c>
      <c r="L29" s="344"/>
      <c r="M29" s="345" t="e">
        <f ca="1">INDIRECT("'数据-取费表'!k"&amp;$G$1)</f>
        <v>#N/A</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t="e">
        <f ca="1">ROUND(C31+C36+C37+C38,0)</f>
        <v>#N/A</v>
      </c>
      <c r="D30" s="1197" t="s">
        <v>1149</v>
      </c>
      <c r="E30" s="3266"/>
      <c r="F30" s="1182"/>
      <c r="G30" s="1516"/>
      <c r="H30" s="2872"/>
      <c r="I30" s="1530"/>
      <c r="J30" s="1531"/>
      <c r="K30" s="2647"/>
      <c r="L30" s="2873"/>
      <c r="M30" s="2874"/>
    </row>
    <row r="31" spans="1:37" ht="18" customHeight="1">
      <c r="A31" s="1091" t="s">
        <v>822</v>
      </c>
      <c r="B31" s="308" t="s">
        <v>1153</v>
      </c>
      <c r="C31" s="2481" t="e">
        <f ca="1">ROUND(IF(AND(项目基本情况!B11="自然人",项目基本情况!B10="北京市"),C6*F31/(1+'数据-取费表'!C42),C32+C33+C34),0)</f>
        <v>#N/A</v>
      </c>
      <c r="D31" s="3261" t="s">
        <v>1154</v>
      </c>
      <c r="E31" s="3265"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t="e">
        <f ca="1">IF(项目基本情况!B11="自然人","——",ROUND(C6*F32/(1+'数据-取费表'!C42),2))</f>
        <v>#N/A</v>
      </c>
      <c r="D32" s="3265"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t="e">
        <f ca="1">IF(项目基本情况!B11="自然人","——",IF(D33="按租金收入计税",ROUND(C6*F33/(1+'数据-取费表'!C42),2),IF(D33="按房产原值计税",ROUND(C29*F33*0.7,2),INDIRECT("'数据-取费表'!Aj"&amp;$G$1))))</f>
        <v>#N/A</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t="e">
        <f ca="1">IF(项目基本情况!B11="自然人","——",ROUND(F34*F35/10000,2))</f>
        <v>#N/A</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t="e">
        <f ca="1">INDIRECT("'数据-取费表'!r"&amp;$G$1)</f>
        <v>#N/A</v>
      </c>
      <c r="G35" s="1516"/>
      <c r="H35" s="2872"/>
      <c r="I35" s="1530"/>
      <c r="J35" s="1531"/>
      <c r="K35" s="2876"/>
      <c r="L35" s="2875"/>
      <c r="M35" s="2875"/>
    </row>
    <row r="36" spans="1:18" ht="18" customHeight="1">
      <c r="A36" s="1212" t="s">
        <v>826</v>
      </c>
      <c r="B36" s="308" t="s">
        <v>1173</v>
      </c>
      <c r="C36" s="24" t="e">
        <f ca="1">ROUND(C29*F36,1)</f>
        <v>#N/A</v>
      </c>
      <c r="D36" s="3265" t="s">
        <v>1206</v>
      </c>
      <c r="E36" s="308" t="s">
        <v>1146</v>
      </c>
      <c r="F36" s="334" t="e">
        <f ca="1">INDIRECT("'数据-取费表'!Ak"&amp;$G$1)</f>
        <v>#N/A</v>
      </c>
      <c r="G36" s="1516"/>
      <c r="H36" s="2875"/>
      <c r="I36" s="1530"/>
      <c r="J36" s="1531"/>
      <c r="K36" s="2716"/>
      <c r="L36" s="2875"/>
      <c r="M36" s="2875"/>
    </row>
    <row r="37" spans="1:18" ht="18" customHeight="1">
      <c r="A37" s="1091" t="s">
        <v>862</v>
      </c>
      <c r="B37" s="308" t="s">
        <v>1177</v>
      </c>
      <c r="C37" s="24" t="e">
        <f ca="1">ROUND(C13*F37,1)</f>
        <v>#N/A</v>
      </c>
      <c r="D37" s="3265" t="s">
        <v>1178</v>
      </c>
      <c r="E37" s="308" t="s">
        <v>1146</v>
      </c>
      <c r="F37" s="336" t="e">
        <f ca="1">INDIRECT("'数据-取费表'!Al"&amp;$G$1)</f>
        <v>#N/A</v>
      </c>
      <c r="G37" s="1516"/>
      <c r="H37" s="2875"/>
      <c r="I37" s="1530"/>
      <c r="J37" s="1531"/>
      <c r="K37" s="2716"/>
      <c r="L37" s="2875"/>
      <c r="M37" s="2875"/>
    </row>
    <row r="38" spans="1:18" ht="18" customHeight="1" thickBot="1">
      <c r="A38" s="1199" t="s">
        <v>1116</v>
      </c>
      <c r="B38" s="1200" t="s">
        <v>1163</v>
      </c>
      <c r="C38" s="1201" t="e">
        <f ca="1">ROUND(C5*F38,1)</f>
        <v>#N/A</v>
      </c>
      <c r="D38" s="1202" t="s">
        <v>1183</v>
      </c>
      <c r="E38" s="1200" t="s">
        <v>1146</v>
      </c>
      <c r="F38" s="1196" t="e">
        <f ca="1">INDIRECT("'数据-取费表'!Am"&amp;$G$1)</f>
        <v>#N/A</v>
      </c>
      <c r="G38" s="1516"/>
      <c r="H38" s="2875"/>
      <c r="I38" s="1530"/>
      <c r="J38" s="1531"/>
      <c r="K38" s="2879"/>
      <c r="L38" s="2875"/>
      <c r="M38" s="2875"/>
    </row>
    <row r="39" spans="1:18" ht="24.6" customHeight="1" thickTop="1">
      <c r="A39" s="1189" t="s">
        <v>818</v>
      </c>
      <c r="B39" s="1204" t="s">
        <v>1187</v>
      </c>
      <c r="C39" s="316" t="e">
        <f ca="1">C5-C30</f>
        <v>#N/A</v>
      </c>
      <c r="D39" s="1205" t="s">
        <v>1188</v>
      </c>
      <c r="E39" s="1206"/>
      <c r="F39" s="1207"/>
      <c r="G39" s="1516"/>
      <c r="H39" s="2875"/>
      <c r="I39" s="1530"/>
      <c r="J39" s="1531"/>
      <c r="K39" s="2879"/>
      <c r="L39" s="2875"/>
      <c r="M39" s="2875"/>
    </row>
    <row r="40" spans="1:18" ht="18" customHeight="1">
      <c r="A40" s="305" t="s">
        <v>819</v>
      </c>
      <c r="B40" s="306" t="s">
        <v>1209</v>
      </c>
      <c r="C40" s="307" t="e">
        <f ca="1">ROUND(C39*(1-((1+F42)/(1+F40))^F41)/(F40-F42),0)</f>
        <v>#N/A</v>
      </c>
      <c r="D40" s="330" t="s">
        <v>1193</v>
      </c>
      <c r="E40" s="308" t="s">
        <v>1194</v>
      </c>
      <c r="F40" s="318" t="e">
        <f ca="1">INDIRECT("'数据-取费表'!I"&amp;$G$1)</f>
        <v>#N/A</v>
      </c>
      <c r="G40" s="1516"/>
      <c r="H40" s="1593"/>
      <c r="I40" s="1530"/>
      <c r="J40" s="1531"/>
      <c r="K40" s="2879"/>
      <c r="L40" s="1593"/>
      <c r="M40" s="1593"/>
    </row>
    <row r="41" spans="1:18" ht="18" customHeight="1">
      <c r="A41" s="310"/>
      <c r="B41" s="311"/>
      <c r="C41" s="312"/>
      <c r="D41" s="338" t="s">
        <v>1210</v>
      </c>
      <c r="E41" s="308" t="s">
        <v>1198</v>
      </c>
      <c r="F41" s="339" t="e">
        <f ca="1">IF(INDIRECT("'数据-取费表'!af"&amp;$G$1)=0,INDIRECT("'数据-取费表'!ae"&amp;$G$1),INDIRECT("'数据-取费表'!af"&amp;$G$1))</f>
        <v>#N/A</v>
      </c>
      <c r="G41" s="1516"/>
      <c r="H41" s="1303"/>
      <c r="I41" s="1530"/>
      <c r="J41" s="1531"/>
      <c r="K41" s="2716"/>
      <c r="L41" s="1303"/>
      <c r="M41" s="1303"/>
    </row>
    <row r="42" spans="1:18" ht="18" customHeight="1">
      <c r="A42" s="314"/>
      <c r="B42" s="315"/>
      <c r="C42" s="316"/>
      <c r="D42" s="333"/>
      <c r="E42" s="308" t="s">
        <v>1201</v>
      </c>
      <c r="F42" s="318" t="e">
        <f ca="1">INDIRECT("'数据-取费表'!v"&amp;$G$1)</f>
        <v>#N/A</v>
      </c>
      <c r="G42" s="1516"/>
      <c r="H42" s="1303"/>
      <c r="I42" s="1530"/>
      <c r="J42" s="1531"/>
      <c r="K42" s="2716"/>
      <c r="L42" s="1303"/>
      <c r="M42" s="1303"/>
    </row>
    <row r="43" spans="1:18" ht="18" customHeight="1" thickBot="1">
      <c r="A43" s="340" t="s">
        <v>820</v>
      </c>
      <c r="B43" s="341" t="s">
        <v>1211</v>
      </c>
      <c r="C43" s="342" t="e">
        <f ca="1">ROUND(C40*10000/F43,0)</f>
        <v>#N/A</v>
      </c>
      <c r="D43" s="343" t="s">
        <v>1212</v>
      </c>
      <c r="E43" s="344" t="s">
        <v>1213</v>
      </c>
      <c r="F43" s="345" t="e">
        <f ca="1">INDIRECT("'数据-取费表'!k"&amp;$G$1)</f>
        <v>#N/A</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80" t="s">
        <v>1243</v>
      </c>
      <c r="P45" s="1593"/>
      <c r="Q45" s="1593"/>
      <c r="R45" s="1593"/>
    </row>
    <row r="46" spans="1:18" s="1516" customFormat="1" ht="13.5" thickBot="1">
      <c r="A46" s="1536" t="s">
        <v>1244</v>
      </c>
      <c r="C46" s="1537" t="e">
        <f ca="1">C68-C40</f>
        <v>#N/A</v>
      </c>
      <c r="D46" s="1538" t="str">
        <f>C2</f>
        <v>万元</v>
      </c>
      <c r="E46" s="1532"/>
      <c r="F46" s="1532"/>
      <c r="I46" s="1539" t="s">
        <v>1245</v>
      </c>
      <c r="J46" s="1540"/>
      <c r="K46" s="1541"/>
      <c r="L46" s="1542" t="e">
        <f ca="1">IF(M47="住宅",0,IF(L48&gt;J51,L60,J60))</f>
        <v>#N/A</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31"/>
      <c r="I47" s="1546" t="s">
        <v>1250</v>
      </c>
      <c r="J47" s="1547" t="s">
        <v>3203</v>
      </c>
      <c r="K47" s="1548" t="s">
        <v>1251</v>
      </c>
      <c r="L47" s="1549" t="e">
        <f ca="1">INDIRECT("'数据-取费表'!d"&amp;$G$1)</f>
        <v>#N/A</v>
      </c>
      <c r="M47" s="1512" t="str">
        <f>IF(ISNUMBER(FIND("住宅",C1)),"住宅","非住宅")</f>
        <v>非住宅</v>
      </c>
      <c r="O47" s="1550" t="s">
        <v>827</v>
      </c>
      <c r="P47" s="1551" t="s">
        <v>1252</v>
      </c>
      <c r="Q47" s="1552" t="e">
        <f ca="1">C40+J29</f>
        <v>#N/A</v>
      </c>
      <c r="R47" s="1552" t="s">
        <v>1253</v>
      </c>
    </row>
    <row r="48" spans="1:18" s="1516" customFormat="1" ht="28.5" thickBot="1">
      <c r="A48" s="1220" t="s">
        <v>863</v>
      </c>
      <c r="B48" s="306" t="s">
        <v>1125</v>
      </c>
      <c r="C48" s="3267" t="e">
        <f ca="1">C49+C53+C55</f>
        <v>#N/A</v>
      </c>
      <c r="D48" s="1222"/>
      <c r="E48" s="1223"/>
      <c r="F48" s="1071"/>
      <c r="G48" s="731"/>
      <c r="H48" s="732"/>
      <c r="I48" s="1553" t="s">
        <v>1254</v>
      </c>
      <c r="J48" s="1554" t="s">
        <v>3185</v>
      </c>
      <c r="K48" s="1555" t="s">
        <v>1255</v>
      </c>
      <c r="L48" s="1556" t="e">
        <f ca="1">INDIRECT("'数据-取费表'!f"&amp;$G$1)</f>
        <v>#N/A</v>
      </c>
      <c r="O48" s="1550" t="s">
        <v>828</v>
      </c>
      <c r="P48" s="1551" t="s">
        <v>1256</v>
      </c>
      <c r="Q48" s="1552" t="e">
        <f ca="1">J60</f>
        <v>#N/A</v>
      </c>
      <c r="R48" s="1552" t="s">
        <v>1257</v>
      </c>
    </row>
    <row r="49" spans="1:18" s="1516" customFormat="1" ht="13.5" thickBot="1">
      <c r="A49" s="1084" t="s">
        <v>864</v>
      </c>
      <c r="B49" s="1503" t="s">
        <v>1214</v>
      </c>
      <c r="C49" s="1224" t="e">
        <f ca="1">ROUND(F49*F51*F50*(1-F52)/10000,0)</f>
        <v>#N/A</v>
      </c>
      <c r="D49" s="1164" t="s">
        <v>2607</v>
      </c>
      <c r="E49" s="1504" t="s">
        <v>1215</v>
      </c>
      <c r="F49" s="1169"/>
      <c r="G49" s="1557"/>
      <c r="H49" s="732"/>
      <c r="I49" s="1553" t="s">
        <v>1258</v>
      </c>
      <c r="J49" s="1558">
        <v>2018</v>
      </c>
      <c r="K49" s="1555" t="s">
        <v>1259</v>
      </c>
      <c r="L49" s="1559"/>
      <c r="O49" s="1560" t="s">
        <v>829</v>
      </c>
      <c r="P49" s="1551" t="s">
        <v>1260</v>
      </c>
      <c r="Q49" s="1552" t="e">
        <f ca="1">C29</f>
        <v>#N/A</v>
      </c>
      <c r="R49" s="1552" t="s">
        <v>1253</v>
      </c>
    </row>
    <row r="50" spans="1:18" s="1516" customFormat="1" ht="13.5" thickBot="1">
      <c r="A50" s="1085"/>
      <c r="B50" s="1088"/>
      <c r="C50" s="1228"/>
      <c r="D50" s="1062"/>
      <c r="E50" s="1165" t="s">
        <v>1130</v>
      </c>
      <c r="F50" s="1166" t="e">
        <f ca="1">F7</f>
        <v>#N/A</v>
      </c>
      <c r="H50" s="732"/>
      <c r="I50" s="1553" t="s">
        <v>1261</v>
      </c>
      <c r="J50" s="1561">
        <f>SUMPRODUCT((I63:I65=J47)*(J62:L62=J48)*(J63:L65))</f>
        <v>60</v>
      </c>
      <c r="K50" s="1555" t="s">
        <v>1262</v>
      </c>
      <c r="L50" s="1559"/>
      <c r="M50" s="1562"/>
      <c r="O50" s="1560" t="s">
        <v>830</v>
      </c>
      <c r="P50" s="1551" t="s">
        <v>1263</v>
      </c>
      <c r="Q50" s="1563" t="e">
        <f ca="1">J58</f>
        <v>#N/A</v>
      </c>
      <c r="R50" s="1552"/>
    </row>
    <row r="51" spans="1:18" s="1516" customFormat="1" ht="13.5" thickBot="1">
      <c r="A51" s="1086"/>
      <c r="B51" s="1088"/>
      <c r="C51" s="1089"/>
      <c r="D51" s="1062"/>
      <c r="E51" s="1090" t="s">
        <v>1131</v>
      </c>
      <c r="F51" s="309" t="e">
        <f ca="1">F8</f>
        <v>#N/A</v>
      </c>
      <c r="I51" s="1564" t="s">
        <v>1264</v>
      </c>
      <c r="J51" s="1565">
        <f>IF(J49="",J50,J49+J50-YEAR('数据-取费表'!B2))</f>
        <v>56</v>
      </c>
      <c r="K51" s="1566" t="s">
        <v>1265</v>
      </c>
      <c r="L51" s="1567" t="e">
        <f ca="1">ROUND(-PV(INDIRECT("'数据-取费表'!h"&amp;$G$1),J51,(C39-C13*C76),0),0)</f>
        <v>#N/A</v>
      </c>
      <c r="M51" s="1568"/>
      <c r="O51" s="1560" t="s">
        <v>831</v>
      </c>
      <c r="P51" s="1551" t="s">
        <v>1266</v>
      </c>
      <c r="Q51" s="1563">
        <f>J52</f>
        <v>7.4999999999999997E-2</v>
      </c>
      <c r="R51" s="1552"/>
    </row>
    <row r="52" spans="1:18" s="1516" customFormat="1" ht="13.5" thickBot="1">
      <c r="A52" s="1086"/>
      <c r="B52" s="1088"/>
      <c r="C52" s="1089"/>
      <c r="D52" s="1062"/>
      <c r="E52" s="1090" t="s">
        <v>1132</v>
      </c>
      <c r="F52" s="1163"/>
      <c r="I52" s="1569" t="s">
        <v>1267</v>
      </c>
      <c r="J52" s="1570">
        <v>7.4999999999999997E-2</v>
      </c>
      <c r="K52" s="1569" t="s">
        <v>1268</v>
      </c>
      <c r="L52" s="1570">
        <f>[3]基准地价修正!$G$24</f>
        <v>0.05</v>
      </c>
      <c r="O52" s="1560" t="s">
        <v>832</v>
      </c>
      <c r="P52" s="1551" t="s">
        <v>1269</v>
      </c>
      <c r="Q52" s="1552" t="e">
        <f ca="1">J53</f>
        <v>#N/A</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t="e">
        <f ca="1">IF(M47="住宅",IF(D1="——",MAX(J51,L48),MAX(J51,L48-'数据-取费表'!B24)),IF(D1="——",MIN(J51,L48),MIN(J51,L48-'数据-取费表'!B24)))</f>
        <v>#N/A</v>
      </c>
      <c r="K53" s="3507" t="s">
        <v>1272</v>
      </c>
      <c r="L53" s="3508"/>
      <c r="O53" s="1550" t="s">
        <v>833</v>
      </c>
      <c r="P53" s="1551" t="s">
        <v>1273</v>
      </c>
      <c r="Q53" s="1552" t="e">
        <f ca="1">Q47+Q48</f>
        <v>#N/A</v>
      </c>
      <c r="R53" s="1552" t="s">
        <v>834</v>
      </c>
    </row>
    <row r="54" spans="1:18" s="1516" customFormat="1" ht="13.5" thickBot="1">
      <c r="A54" s="1265"/>
      <c r="B54" s="1499" t="s">
        <v>1112</v>
      </c>
      <c r="C54" s="1068"/>
      <c r="D54" s="1498"/>
      <c r="E54" s="3260"/>
      <c r="F54" s="1572"/>
      <c r="I54" s="15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4"/>
      <c r="K54" s="1574"/>
      <c r="L54" s="1574"/>
      <c r="M54" s="1557"/>
      <c r="O54" s="1535" t="s">
        <v>1274</v>
      </c>
      <c r="P54" s="1513"/>
      <c r="Q54" s="1513"/>
      <c r="R54" s="1513"/>
    </row>
    <row r="55" spans="1:18" s="1516" customFormat="1" ht="13.5" thickBot="1">
      <c r="A55" s="1193" t="s">
        <v>862</v>
      </c>
      <c r="B55" s="1501" t="s">
        <v>1137</v>
      </c>
      <c r="C55" s="1194"/>
      <c r="D55" s="1498"/>
      <c r="E55" s="3260"/>
      <c r="F55" s="1572"/>
      <c r="I55" s="1575" t="s">
        <v>1275</v>
      </c>
      <c r="J55" s="1576" t="e">
        <f ca="1">ROUND(IF(J47="钢混",J57/J50,1-(1-2%)*(J50-J57)/J50),3)</f>
        <v>#N/A</v>
      </c>
      <c r="K55" s="1577" t="s">
        <v>1276</v>
      </c>
      <c r="L55" s="1578" t="s">
        <v>3204</v>
      </c>
      <c r="O55" s="1543" t="s">
        <v>1246</v>
      </c>
      <c r="P55" s="1544" t="s">
        <v>1247</v>
      </c>
      <c r="Q55" s="1545" t="s">
        <v>1248</v>
      </c>
      <c r="R55" s="1545" t="s">
        <v>1249</v>
      </c>
    </row>
    <row r="56" spans="1:18" s="1516" customFormat="1" ht="25.5" thickTop="1" thickBot="1">
      <c r="A56" s="1066">
        <v>2</v>
      </c>
      <c r="B56" s="1067" t="s">
        <v>1138</v>
      </c>
      <c r="C56" s="238" t="e">
        <f ca="1">C13</f>
        <v>#N/A</v>
      </c>
      <c r="D56" s="1579"/>
      <c r="E56" s="1580"/>
      <c r="F56" s="1572"/>
      <c r="I56" s="1581" t="s">
        <v>1278</v>
      </c>
      <c r="J56" s="1582" t="s">
        <v>3178</v>
      </c>
      <c r="K56" s="1553" t="s">
        <v>1279</v>
      </c>
      <c r="L56" s="1556" t="e">
        <f ca="1">IF(L48&lt;J51,"——",L48-J53)</f>
        <v>#N/A</v>
      </c>
      <c r="O56" s="1550" t="s">
        <v>827</v>
      </c>
      <c r="P56" s="1551" t="s">
        <v>1252</v>
      </c>
      <c r="Q56" s="1552" t="e">
        <f ca="1">C40+J29</f>
        <v>#N/A</v>
      </c>
      <c r="R56" s="1552" t="s">
        <v>1253</v>
      </c>
    </row>
    <row r="57" spans="1:18" s="1516" customFormat="1" ht="24.75" thickBot="1">
      <c r="A57" s="1583"/>
      <c r="B57" s="1059" t="s">
        <v>1202</v>
      </c>
      <c r="C57" s="244" t="e">
        <f ca="1">C29</f>
        <v>#N/A</v>
      </c>
      <c r="D57" s="1584"/>
      <c r="E57" s="1585"/>
      <c r="F57" s="1586"/>
      <c r="I57" s="1587" t="s">
        <v>1280</v>
      </c>
      <c r="J57" s="1588" t="e">
        <f ca="1">IF(OR(M47="住宅",J51&lt;L48,J56="是"),"——",J51-L48)</f>
        <v>#N/A</v>
      </c>
      <c r="K57" s="1553" t="s">
        <v>1281</v>
      </c>
      <c r="L57" s="1556" t="e">
        <f ca="1">IF(L48&lt;J51,"——",IF(L55="比较法",L49,IF(L55="基准地价",L50,L51)))</f>
        <v>#N/A</v>
      </c>
      <c r="O57" s="1550" t="s">
        <v>828</v>
      </c>
      <c r="P57" s="1551" t="s">
        <v>1282</v>
      </c>
      <c r="Q57" s="1552" t="e">
        <f ca="1">L60</f>
        <v>#N/A</v>
      </c>
      <c r="R57" s="1552" t="s">
        <v>1283</v>
      </c>
    </row>
    <row r="58" spans="1:18" s="1516" customFormat="1" ht="24.75" thickBot="1">
      <c r="A58" s="321" t="s">
        <v>817</v>
      </c>
      <c r="B58" s="1067" t="s">
        <v>1148</v>
      </c>
      <c r="C58" s="322" t="e">
        <f ca="1">ROUND(C59+C64+C65+C66,0)</f>
        <v>#N/A</v>
      </c>
      <c r="D58" s="1069" t="s">
        <v>1149</v>
      </c>
      <c r="E58" s="1070"/>
      <c r="F58" s="1071"/>
      <c r="I58" s="1587" t="s">
        <v>1284</v>
      </c>
      <c r="J58" s="1589" t="e">
        <f ca="1">IF(J55&lt;0.4,0.4,J55)</f>
        <v>#N/A</v>
      </c>
      <c r="K58" s="1566" t="s">
        <v>1285</v>
      </c>
      <c r="L58" s="1556" t="e">
        <f ca="1">ROUND(POWER(1+L52,L47-L48)*(POWER(1+L52,L48)-1)/(POWER(1+L52,L47)-1),4)</f>
        <v>#N/A</v>
      </c>
      <c r="O58" s="1560" t="s">
        <v>829</v>
      </c>
      <c r="P58" s="1551" t="s">
        <v>1286</v>
      </c>
      <c r="Q58" s="1552">
        <f>IF(L55="比较法",L49,IF(L55="基准地价",L50,0))</f>
        <v>0</v>
      </c>
      <c r="R58" s="1552" t="s">
        <v>1253</v>
      </c>
    </row>
    <row r="59" spans="1:18" s="1516" customFormat="1" ht="24.75" thickBot="1">
      <c r="A59" s="1091" t="s">
        <v>822</v>
      </c>
      <c r="B59" s="1059" t="s">
        <v>1153</v>
      </c>
      <c r="C59" s="2481" t="e">
        <f ca="1">ROUND(IF(AND(项目基本情况!B11="自然人",项目基本情况!B10="北京市"),C49*F59/(1+'数据-取费表'!C42),C60+C61+C62),0)</f>
        <v>#N/A</v>
      </c>
      <c r="D59" s="1072" t="s">
        <v>1154</v>
      </c>
      <c r="E59" s="1073" t="s">
        <v>1155</v>
      </c>
      <c r="F59" s="2480" t="str">
        <f>IF(项目基本情况!B11="企业","——",IF('数据-取费表'!B10="住宅",IF(F49*F50*F51/12/(1+'数据-取费表'!F30)&gt;100000,4%,2.5%),IF(F49*F50*F51/12/(1+'数据-取费表'!F30)&gt;100000,12%,7%)))</f>
        <v>——</v>
      </c>
      <c r="I59" s="1587" t="s">
        <v>1287</v>
      </c>
      <c r="J59" s="1588" t="e">
        <f ca="1">IF(OR(M47="住宅",J51&lt;L48,J56="是"),"——",ROUND(C29*J58,0))</f>
        <v>#N/A</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#N/A</v>
      </c>
      <c r="M59" s="1512" t="e">
        <f ca="1">ROUND(POWER(1+L52,L47-(J51+'数据-取费表'!B24))*(POWER(1+L52,(J51+'数据-取费表'!B24))-1)/(POWER(1+L52,L47)-1),4)</f>
        <v>#N/A</v>
      </c>
      <c r="N59" s="1512" t="e">
        <f ca="1">ROUND(POWER(1+L52,L47-(J51+'数据-取费表'!B20))*(POWER(1+L52,(J51+'数据-取费表'!B20))-1)/(POWER(1+L52,L47)-1),4)</f>
        <v>#N/A</v>
      </c>
      <c r="O59" s="1560" t="s">
        <v>830</v>
      </c>
      <c r="P59" s="1551" t="s">
        <v>1288</v>
      </c>
      <c r="Q59" s="1563">
        <f>L52</f>
        <v>0.05</v>
      </c>
      <c r="R59" s="1552"/>
    </row>
    <row r="60" spans="1:18" s="1516" customFormat="1" ht="16.5" thickBot="1">
      <c r="A60" s="1091" t="s">
        <v>821</v>
      </c>
      <c r="B60" s="1059" t="s">
        <v>1157</v>
      </c>
      <c r="C60" s="24" t="e">
        <f ca="1">IF(项目基本情况!B11="自然人","——",ROUND(C48*F60/(1+'数据-取费表'!C42),2))</f>
        <v>#N/A</v>
      </c>
      <c r="D60" s="1073" t="s">
        <v>1158</v>
      </c>
      <c r="E60" s="1059" t="s">
        <v>1146</v>
      </c>
      <c r="F60" s="337">
        <f t="shared" ref="F60:F66" si="0">F32</f>
        <v>5.5000000000000007E-2</v>
      </c>
      <c r="I60" s="1590" t="s">
        <v>1289</v>
      </c>
      <c r="J60" s="1591" t="e">
        <f ca="1">IF(OR(M47="住宅",J51&lt;L48,J56="是"),"0",ROUND(J59/(1+J52)^J53,0))</f>
        <v>#N/A</v>
      </c>
      <c r="K60" s="1592" t="s">
        <v>1290</v>
      </c>
      <c r="L60" s="1591" t="e">
        <f ca="1">IF(OR(M47="住宅",L48&lt;J51),0,ROUND(L57*(L58/L59-1),0))</f>
        <v>#N/A</v>
      </c>
      <c r="O60" s="1560" t="s">
        <v>831</v>
      </c>
      <c r="P60" s="1551" t="s">
        <v>1291</v>
      </c>
      <c r="Q60" s="1552" t="e">
        <f ca="1">L58</f>
        <v>#N/A</v>
      </c>
      <c r="R60" s="1552" t="s">
        <v>1292</v>
      </c>
    </row>
    <row r="61" spans="1:18" s="1516" customFormat="1" ht="13.5" thickBot="1">
      <c r="A61" s="1091" t="s">
        <v>1216</v>
      </c>
      <c r="B61" s="1059" t="s">
        <v>1161</v>
      </c>
      <c r="C61" s="24" t="e">
        <f ca="1">IF(项目基本情况!B11="自然人","——",IF(D61="按租金收入计税",ROUND(C49*F61/(1+'数据-取费表'!C42),2),IF(D61="按房产原值计税",ROUND(C57*F61*0.7,2),INDIRECT("'数据-取费表'!Aj"&amp;$G$1))))</f>
        <v>#N/A</v>
      </c>
      <c r="D61" s="1502" t="s">
        <v>1162</v>
      </c>
      <c r="E61" s="1059" t="s">
        <v>1146</v>
      </c>
      <c r="F61" s="328">
        <f t="shared" si="0"/>
        <v>0.12</v>
      </c>
      <c r="I61" s="1593"/>
      <c r="J61" s="1593"/>
      <c r="K61" s="1593"/>
      <c r="L61" s="1593"/>
      <c r="O61" s="1560" t="s">
        <v>832</v>
      </c>
      <c r="P61" s="1551" t="str">
        <f>K59</f>
        <v>建筑物剩余耐用年限下的土地年期修正系数Kn</v>
      </c>
      <c r="Q61" s="1552" t="e">
        <f ca="1">L59</f>
        <v>#N/A</v>
      </c>
      <c r="R61" s="1552" t="s">
        <v>1293</v>
      </c>
    </row>
    <row r="62" spans="1:18" s="1516" customFormat="1" ht="13.5" thickBot="1">
      <c r="A62" s="1091" t="s">
        <v>1219</v>
      </c>
      <c r="B62" s="1058" t="s">
        <v>1165</v>
      </c>
      <c r="C62" s="25" t="e">
        <f ca="1">IF(项目基本情况!B11="自然人","——",ROUND(F62*F63/10000,2))</f>
        <v>#N/A</v>
      </c>
      <c r="D62" s="1074" t="s">
        <v>1166</v>
      </c>
      <c r="E62" s="1059" t="s">
        <v>1167</v>
      </c>
      <c r="F62" s="331">
        <f t="shared" si="0"/>
        <v>1.5</v>
      </c>
      <c r="I62" s="1594" t="s">
        <v>1294</v>
      </c>
      <c r="J62" s="1595" t="s">
        <v>1295</v>
      </c>
      <c r="K62" s="1595" t="s">
        <v>1296</v>
      </c>
      <c r="L62" s="1595" t="s">
        <v>1297</v>
      </c>
      <c r="M62" s="1596" t="s">
        <v>1298</v>
      </c>
      <c r="O62" s="1550" t="s">
        <v>833</v>
      </c>
      <c r="P62" s="1551" t="s">
        <v>1273</v>
      </c>
      <c r="Q62" s="1552" t="e">
        <f ca="1">Q56+Q57</f>
        <v>#N/A</v>
      </c>
      <c r="R62" s="1552" t="s">
        <v>834</v>
      </c>
    </row>
    <row r="63" spans="1:18" s="1516" customFormat="1" ht="13.5" thickBot="1">
      <c r="A63" s="332"/>
      <c r="B63" s="1065"/>
      <c r="C63" s="29"/>
      <c r="D63" s="1075"/>
      <c r="E63" s="1059" t="s">
        <v>1171</v>
      </c>
      <c r="F63" s="309" t="e">
        <f t="shared" ca="1" si="0"/>
        <v>#N/A</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t="e">
        <f ca="1">ROUND(C57*F64,1)</f>
        <v>#N/A</v>
      </c>
      <c r="D64" s="1073" t="s">
        <v>1206</v>
      </c>
      <c r="E64" s="1059" t="s">
        <v>1146</v>
      </c>
      <c r="F64" s="334" t="e">
        <f t="shared" ca="1" si="0"/>
        <v>#N/A</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t="e">
        <f ca="1">ROUND(C56*F65,1)</f>
        <v>#N/A</v>
      </c>
      <c r="D65" s="1073" t="s">
        <v>1178</v>
      </c>
      <c r="E65" s="1059" t="s">
        <v>1146</v>
      </c>
      <c r="F65" s="336" t="e">
        <f t="shared" ca="1" si="0"/>
        <v>#N/A</v>
      </c>
      <c r="I65" s="1594" t="s">
        <v>1303</v>
      </c>
      <c r="J65" s="1595">
        <v>40</v>
      </c>
      <c r="K65" s="1595">
        <v>30</v>
      </c>
      <c r="L65" s="1595">
        <v>50</v>
      </c>
      <c r="M65" s="1597">
        <v>0.02</v>
      </c>
      <c r="O65" s="1550" t="s">
        <v>827</v>
      </c>
      <c r="P65" s="1551" t="s">
        <v>1252</v>
      </c>
      <c r="Q65" s="1552" t="e">
        <f ca="1">C40+J29</f>
        <v>#N/A</v>
      </c>
      <c r="R65" s="1552" t="s">
        <v>1253</v>
      </c>
    </row>
    <row r="66" spans="1:18" s="1516" customFormat="1" ht="16.5" thickBot="1">
      <c r="A66" s="1091" t="s">
        <v>1228</v>
      </c>
      <c r="B66" s="1059" t="s">
        <v>1163</v>
      </c>
      <c r="C66" s="24" t="e">
        <f ca="1">ROUND(C48*F66,1)</f>
        <v>#N/A</v>
      </c>
      <c r="D66" s="1073" t="s">
        <v>1183</v>
      </c>
      <c r="E66" s="1059" t="s">
        <v>1146</v>
      </c>
      <c r="F66" s="318" t="e">
        <f t="shared" ca="1" si="0"/>
        <v>#N/A</v>
      </c>
      <c r="O66" s="1550" t="s">
        <v>828</v>
      </c>
      <c r="P66" s="1551" t="s">
        <v>1282</v>
      </c>
      <c r="Q66" s="1552" t="e">
        <f ca="1">L60</f>
        <v>#N/A</v>
      </c>
      <c r="R66" s="1552" t="s">
        <v>1305</v>
      </c>
    </row>
    <row r="67" spans="1:18" s="1516" customFormat="1" ht="16.5" thickBot="1">
      <c r="A67" s="1066" t="s">
        <v>818</v>
      </c>
      <c r="B67" s="1076" t="s">
        <v>1187</v>
      </c>
      <c r="C67" s="322" t="e">
        <f ca="1">C48-C58</f>
        <v>#N/A</v>
      </c>
      <c r="D67" s="1072" t="s">
        <v>1188</v>
      </c>
      <c r="E67" s="1077"/>
      <c r="F67" s="1078"/>
      <c r="O67" s="1560" t="s">
        <v>829</v>
      </c>
      <c r="P67" s="1551" t="s">
        <v>1286</v>
      </c>
      <c r="Q67" s="1598" t="e">
        <f ca="1">L51</f>
        <v>#N/A</v>
      </c>
      <c r="R67" s="1552" t="s">
        <v>1306</v>
      </c>
    </row>
    <row r="68" spans="1:18" s="1516" customFormat="1" ht="16.5" thickBot="1">
      <c r="A68" s="1056" t="s">
        <v>819</v>
      </c>
      <c r="B68" s="1057" t="s">
        <v>1209</v>
      </c>
      <c r="C68" s="307" t="e">
        <f ca="1">ROUND(C67*(1-((1+F70)/(1+F68))^F69)/(F68-F70),0)</f>
        <v>#N/A</v>
      </c>
      <c r="D68" s="1074" t="s">
        <v>1193</v>
      </c>
      <c r="E68" s="1059" t="s">
        <v>1194</v>
      </c>
      <c r="F68" s="318" t="e">
        <f ca="1">F40</f>
        <v>#N/A</v>
      </c>
      <c r="O68" s="1560" t="s">
        <v>830</v>
      </c>
      <c r="P68" s="1599" t="s">
        <v>1307</v>
      </c>
      <c r="Q68" s="1552" t="e">
        <f ca="1">ROUND(Q69-Q70*Q71,0)</f>
        <v>#N/A</v>
      </c>
      <c r="R68" s="1552" t="s">
        <v>838</v>
      </c>
    </row>
    <row r="69" spans="1:18" s="1516" customFormat="1" ht="13.5" thickBot="1">
      <c r="A69" s="1060"/>
      <c r="B69" s="1061"/>
      <c r="C69" s="312"/>
      <c r="D69" s="1079" t="s">
        <v>1197</v>
      </c>
      <c r="E69" s="1059" t="s">
        <v>1198</v>
      </c>
      <c r="F69" s="339" t="e">
        <f ca="1">F41</f>
        <v>#N/A</v>
      </c>
      <c r="O69" s="1560" t="s">
        <v>835</v>
      </c>
      <c r="P69" s="1599" t="s">
        <v>1308</v>
      </c>
      <c r="Q69" s="1552" t="e">
        <f ca="1">C39</f>
        <v>#N/A</v>
      </c>
      <c r="R69" s="1552" t="s">
        <v>1253</v>
      </c>
    </row>
    <row r="70" spans="1:18" s="1516" customFormat="1" ht="13.5" thickBot="1">
      <c r="A70" s="1063"/>
      <c r="B70" s="1064"/>
      <c r="C70" s="316"/>
      <c r="D70" s="1075"/>
      <c r="E70" s="1059" t="s">
        <v>1201</v>
      </c>
      <c r="F70" s="1163"/>
      <c r="O70" s="1560" t="s">
        <v>836</v>
      </c>
      <c r="P70" s="1599" t="s">
        <v>1309</v>
      </c>
      <c r="Q70" s="1552" t="e">
        <f ca="1">C13</f>
        <v>#N/A</v>
      </c>
      <c r="R70" s="1552" t="s">
        <v>1253</v>
      </c>
    </row>
    <row r="71" spans="1:18" s="1516" customFormat="1" ht="13.5" thickBot="1">
      <c r="A71" s="1080" t="s">
        <v>820</v>
      </c>
      <c r="B71" s="1081" t="s">
        <v>1211</v>
      </c>
      <c r="C71" s="342" t="e">
        <f ca="1">ROUND(C68*10000/F71,0)</f>
        <v>#N/A</v>
      </c>
      <c r="D71" s="1082" t="s">
        <v>1212</v>
      </c>
      <c r="E71" s="1083" t="s">
        <v>1213</v>
      </c>
      <c r="F71" s="345" t="e">
        <f ca="1">F43</f>
        <v>#N/A</v>
      </c>
      <c r="O71" s="1560" t="s">
        <v>837</v>
      </c>
      <c r="P71" s="1599" t="s">
        <v>1310</v>
      </c>
      <c r="Q71" s="1563" t="e">
        <f ca="1">C76</f>
        <v>#N/A</v>
      </c>
      <c r="R71" s="1552"/>
    </row>
    <row r="72" spans="1:18" s="1516" customFormat="1" ht="13.5" thickBot="1">
      <c r="B72" s="735"/>
      <c r="C72" s="735"/>
      <c r="O72" s="1560" t="s">
        <v>831</v>
      </c>
      <c r="P72" s="1551" t="s">
        <v>1288</v>
      </c>
      <c r="Q72" s="1563">
        <f>L52</f>
        <v>0.05</v>
      </c>
      <c r="R72" s="1552"/>
    </row>
    <row r="73" spans="1:18" ht="16.5" thickBot="1">
      <c r="A73" s="1516"/>
      <c r="B73" s="735"/>
      <c r="C73" s="735"/>
      <c r="D73" s="1516"/>
      <c r="E73" s="1516"/>
      <c r="F73" s="1516"/>
      <c r="O73" s="1560" t="s">
        <v>832</v>
      </c>
      <c r="P73" s="1551" t="s">
        <v>1291</v>
      </c>
      <c r="Q73" s="1552" t="e">
        <f ca="1">L58</f>
        <v>#N/A</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#N/A</v>
      </c>
      <c r="R74" s="1552" t="s">
        <v>1293</v>
      </c>
    </row>
    <row r="75" spans="1:18" ht="13.5" thickBot="1">
      <c r="A75" s="1516"/>
      <c r="B75" s="346" t="s">
        <v>1230</v>
      </c>
      <c r="C75" s="347" t="e">
        <f ca="1">ROUND(C13*C76,0)</f>
        <v>#N/A</v>
      </c>
      <c r="D75" s="1516"/>
      <c r="E75" s="1516"/>
      <c r="F75" s="1516"/>
      <c r="K75" s="1534"/>
      <c r="L75" s="1516"/>
      <c r="O75" s="1550" t="s">
        <v>833</v>
      </c>
      <c r="P75" s="1551" t="s">
        <v>1273</v>
      </c>
      <c r="Q75" s="1552" t="e">
        <f ca="1">Q65+Q66</f>
        <v>#N/A</v>
      </c>
      <c r="R75" s="1552" t="s">
        <v>834</v>
      </c>
    </row>
    <row r="76" spans="1:18">
      <c r="B76" s="348" t="s">
        <v>1231</v>
      </c>
      <c r="C76" s="349" t="e">
        <f ca="1">INDIRECT("'数据-取费表'!j"&amp;$G$1)</f>
        <v>#N/A</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3190</v>
      </c>
      <c r="D1" s="1494" t="s">
        <v>70</v>
      </c>
      <c r="E1" s="1495" t="s">
        <v>1111</v>
      </c>
      <c r="F1" s="1171" t="e">
        <f ca="1">J53</f>
        <v>#N/A</v>
      </c>
      <c r="G1" s="1510" t="e">
        <f>MATCH(C1,'数据-取费表'!A6:A16,0)+5</f>
        <v>#N/A</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1314</v>
      </c>
      <c r="B2" s="1518" t="e">
        <f ca="1">ROUND(D2/10000,0)</f>
        <v>#N/A</v>
      </c>
      <c r="C2" s="1519" t="s">
        <v>1315</v>
      </c>
      <c r="D2" s="1603" t="e">
        <f ca="1">C40+J29+L46</f>
        <v>#N/A</v>
      </c>
      <c r="E2" s="1520" t="s">
        <v>1316</v>
      </c>
      <c r="F2" s="1521"/>
      <c r="G2" s="2881"/>
      <c r="H2" s="2870"/>
      <c r="I2" s="2870"/>
      <c r="J2" s="2870"/>
      <c r="K2" s="2871"/>
      <c r="L2" s="2870"/>
      <c r="M2" s="2870"/>
    </row>
    <row r="3" spans="1:37" ht="18" customHeight="1" thickBot="1">
      <c r="A3" s="1522" t="s">
        <v>1317</v>
      </c>
      <c r="B3" s="1523">
        <f ca="1">IF(ISERROR(D2/F43),0,ROUND(D2/F43,0))</f>
        <v>0</v>
      </c>
      <c r="C3" s="1519" t="s">
        <v>1318</v>
      </c>
      <c r="D3" s="1519"/>
      <c r="E3" s="1520"/>
      <c r="F3" s="1521"/>
      <c r="G3" s="2881"/>
      <c r="H3" s="692"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t="e">
        <f ca="1">C6+C10+C12</f>
        <v>#N/A</v>
      </c>
      <c r="D5" s="1496" t="s">
        <v>1325</v>
      </c>
      <c r="E5" s="1181"/>
      <c r="F5" s="1182"/>
      <c r="G5" s="1516"/>
      <c r="H5" s="305">
        <v>1</v>
      </c>
      <c r="I5" s="306" t="s">
        <v>1324</v>
      </c>
      <c r="J5" s="1180" t="e">
        <f ca="1">J6+J10+J12</f>
        <v>#N/A</v>
      </c>
      <c r="K5" s="1496" t="s">
        <v>1325</v>
      </c>
      <c r="L5" s="1181"/>
      <c r="M5" s="1182"/>
    </row>
    <row r="6" spans="1:37" ht="18" customHeight="1">
      <c r="A6" s="1179" t="s">
        <v>822</v>
      </c>
      <c r="B6" s="3504" t="s">
        <v>1127</v>
      </c>
      <c r="C6" s="1184" t="e">
        <f ca="1">ROUND(F6*F8*F7*(1-F9),0)</f>
        <v>#N/A</v>
      </c>
      <c r="D6" s="160" t="s">
        <v>2605</v>
      </c>
      <c r="E6" s="308" t="s">
        <v>1129</v>
      </c>
      <c r="F6" s="309" t="e">
        <f ca="1">INDIRECT("'数据-取费表'!u"&amp;$G$1)</f>
        <v>#N/A</v>
      </c>
      <c r="G6" s="1516"/>
      <c r="H6" s="1179" t="s">
        <v>822</v>
      </c>
      <c r="I6" s="3504" t="s">
        <v>1127</v>
      </c>
      <c r="J6" s="307" t="e">
        <f ca="1">ROUND(M6*M8*M7*(1-M9),0)</f>
        <v>#N/A</v>
      </c>
      <c r="K6" s="1508" t="s">
        <v>2606</v>
      </c>
      <c r="L6" s="308" t="s">
        <v>1129</v>
      </c>
      <c r="M6" s="309" t="e">
        <f ca="1">INDIRECT("'数据-取费表'!z"&amp;$G$1)</f>
        <v>#N/A</v>
      </c>
    </row>
    <row r="7" spans="1:37" ht="18" customHeight="1">
      <c r="A7" s="1183"/>
      <c r="B7" s="3505"/>
      <c r="C7" s="1185"/>
      <c r="D7" s="313"/>
      <c r="E7" s="1186" t="s">
        <v>1130</v>
      </c>
      <c r="F7" s="309" t="e">
        <f ca="1">IF(INDIRECT("'数据-取费表'!ah"&amp;$G$1)="",INDIRECT("'数据-取费表'!k"&amp;$G$1),INDIRECT("'数据-取费表'!ah"&amp;$G$1))</f>
        <v>#N/A</v>
      </c>
      <c r="G7" s="1516"/>
      <c r="H7" s="310"/>
      <c r="I7" s="3505"/>
      <c r="J7" s="312"/>
      <c r="K7" s="313"/>
      <c r="L7" s="308" t="s">
        <v>1130</v>
      </c>
      <c r="M7" s="309" t="e">
        <f ca="1">F7</f>
        <v>#N/A</v>
      </c>
    </row>
    <row r="8" spans="1:37" ht="18" customHeight="1">
      <c r="A8" s="310"/>
      <c r="B8" s="3505"/>
      <c r="C8" s="312"/>
      <c r="D8" s="313"/>
      <c r="E8" s="308" t="s">
        <v>1131</v>
      </c>
      <c r="F8" s="309" t="e">
        <f ca="1">INDIRECT("'数据-取费表'!ai"&amp;$G$1)</f>
        <v>#N/A</v>
      </c>
      <c r="G8" s="1516"/>
      <c r="H8" s="310"/>
      <c r="I8" s="3505"/>
      <c r="J8" s="312"/>
      <c r="K8" s="313"/>
      <c r="L8" s="308" t="s">
        <v>1131</v>
      </c>
      <c r="M8" s="309" t="e">
        <f ca="1">INDIRECT("'数据-取费表'!ai"&amp;$G$1)</f>
        <v>#N/A</v>
      </c>
    </row>
    <row r="9" spans="1:37" ht="18" customHeight="1">
      <c r="A9" s="310"/>
      <c r="B9" s="3506"/>
      <c r="C9" s="312"/>
      <c r="D9" s="313"/>
      <c r="E9" s="308" t="s">
        <v>1132</v>
      </c>
      <c r="F9" s="318" t="e">
        <f ca="1">INDIRECT("'数据-取费表'!w"&amp;$G$1)</f>
        <v>#N/A</v>
      </c>
      <c r="G9" s="1516"/>
      <c r="H9" s="310"/>
      <c r="I9" s="3506"/>
      <c r="J9" s="312"/>
      <c r="K9" s="313"/>
      <c r="L9" s="319" t="s">
        <v>1132</v>
      </c>
      <c r="M9" s="320" t="e">
        <f ca="1">INDIRECT("'数据-取费表'!ab"&amp;$G$1)</f>
        <v>#N/A</v>
      </c>
    </row>
    <row r="10" spans="1:37" ht="18" customHeight="1">
      <c r="A10" s="1179" t="s">
        <v>826</v>
      </c>
      <c r="B10" s="1497" t="s">
        <v>1133</v>
      </c>
      <c r="C10" s="322">
        <f ca="1">ROUND(IF(F10="押一",C6/12*F11,IF(F10="押二",C6/12*2*F11,IF(F10="押三",C6/12*3*F11,C11*F11))),0)</f>
        <v>0</v>
      </c>
      <c r="D10" s="1498" t="s">
        <v>2615</v>
      </c>
      <c r="E10" s="319" t="s">
        <v>1134</v>
      </c>
      <c r="F10" s="1226" t="s">
        <v>3193</v>
      </c>
      <c r="G10" s="1516"/>
      <c r="H10" s="1179" t="s">
        <v>826</v>
      </c>
      <c r="I10" s="1497" t="s">
        <v>1133</v>
      </c>
      <c r="J10" s="307">
        <f ca="1">ROUND(IF(M10="押一",J6/12*M11,IF(M10="押二",J6/12*2*M11,IF(M10="押三",J6/12*3*M11,J11*M11))),0)</f>
        <v>0</v>
      </c>
      <c r="K10" s="1509" t="s">
        <v>2617</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3"/>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t="e">
        <f ca="1">ROUND(C29*F13,0)</f>
        <v>#N/A</v>
      </c>
      <c r="D13" s="1191" t="s">
        <v>1139</v>
      </c>
      <c r="E13" s="1191" t="s">
        <v>1140</v>
      </c>
      <c r="F13" s="1192" t="e">
        <f ca="1">INDIRECT("'数据-取费表'!y"&amp;$G$1)</f>
        <v>#N/A</v>
      </c>
      <c r="G13" s="1516"/>
      <c r="H13" s="1189">
        <v>2</v>
      </c>
      <c r="I13" s="1190" t="s">
        <v>1138</v>
      </c>
      <c r="J13" s="1178" t="e">
        <f ca="1">ROUND(J14*J15,0)</f>
        <v>#N/A</v>
      </c>
      <c r="K13" s="1197" t="s">
        <v>1139</v>
      </c>
      <c r="L13" s="1524"/>
      <c r="M13" s="1525"/>
    </row>
    <row r="14" spans="1:37" ht="18" customHeight="1">
      <c r="A14" s="1091" t="s">
        <v>821</v>
      </c>
      <c r="B14" s="308" t="s">
        <v>1141</v>
      </c>
      <c r="C14" s="324" t="e">
        <f ca="1">ROUND(INDIRECT("'数据-取费表'!l"&amp;$G$1)*F43+'数据-取费表'!L14*INDIRECT("'数据-取费表'!S"&amp;$G$1),0)</f>
        <v>#N/A</v>
      </c>
      <c r="D14" s="1477" t="s">
        <v>1142</v>
      </c>
      <c r="E14" s="1474"/>
      <c r="F14" s="325"/>
      <c r="G14" s="1516"/>
      <c r="H14" s="1091" t="s">
        <v>822</v>
      </c>
      <c r="I14" s="308" t="s">
        <v>1143</v>
      </c>
      <c r="J14" s="24" t="e">
        <f ca="1">C29</f>
        <v>#N/A</v>
      </c>
      <c r="K14" s="15"/>
      <c r="L14" s="894"/>
      <c r="M14" s="895"/>
    </row>
    <row r="15" spans="1:37" s="1529" customFormat="1" ht="18" customHeight="1" thickBot="1">
      <c r="A15" s="1091" t="s">
        <v>823</v>
      </c>
      <c r="B15" s="308" t="s">
        <v>1144</v>
      </c>
      <c r="C15" s="24" t="e">
        <f ca="1">ROUND(C14*F15,0)</f>
        <v>#N/A</v>
      </c>
      <c r="D15" s="326" t="s">
        <v>1145</v>
      </c>
      <c r="E15" s="326" t="s">
        <v>1146</v>
      </c>
      <c r="F15" s="327">
        <f>'数据-取费表'!B33</f>
        <v>0.05</v>
      </c>
      <c r="G15" s="1528"/>
      <c r="H15" s="1199" t="s">
        <v>826</v>
      </c>
      <c r="I15" s="1200" t="s">
        <v>1140</v>
      </c>
      <c r="J15" s="1209" t="e">
        <f ca="1">INDIRECT("'数据-取费表'!ad"&amp;$G$1)</f>
        <v>#N/A</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t="e">
        <f ca="1">ROUND(INDIRECT("'数据-取费表'!l"&amp;$G$1)*F43*F16,0)</f>
        <v>#N/A</v>
      </c>
      <c r="D16" s="308" t="s">
        <v>1145</v>
      </c>
      <c r="E16" s="308" t="s">
        <v>1146</v>
      </c>
      <c r="F16" s="328" t="e">
        <f ca="1">IF(INDIRECT("'数据-取费表'!c"&amp;$G$1)="住宅",'数据-取费表'!B34,0)</f>
        <v>#N/A</v>
      </c>
      <c r="G16" s="1516"/>
      <c r="H16" s="1189" t="s">
        <v>817</v>
      </c>
      <c r="I16" s="1190" t="s">
        <v>1148</v>
      </c>
      <c r="J16" s="316" t="e">
        <f ca="1">ROUND(J17+J22+J23+J24,0)</f>
        <v>#N/A</v>
      </c>
      <c r="K16" s="1197" t="s">
        <v>1149</v>
      </c>
      <c r="L16" s="1198"/>
      <c r="M16" s="1182"/>
    </row>
    <row r="17" spans="1:37" s="1529" customFormat="1" ht="18" customHeight="1">
      <c r="A17" s="1091" t="s">
        <v>1114</v>
      </c>
      <c r="B17" s="308" t="s">
        <v>1150</v>
      </c>
      <c r="C17" s="24" t="e">
        <f ca="1">ROUND(F17*(F43+INDIRECT("'数据-取费表'!S"&amp;$G$1)),0)</f>
        <v>#N/A</v>
      </c>
      <c r="D17" s="308" t="s">
        <v>1151</v>
      </c>
      <c r="E17" s="308" t="s">
        <v>1152</v>
      </c>
      <c r="F17" s="26">
        <f>'数据-取费表'!B35</f>
        <v>200</v>
      </c>
      <c r="G17" s="1528"/>
      <c r="H17" s="1091" t="s">
        <v>822</v>
      </c>
      <c r="I17" s="308" t="s">
        <v>1153</v>
      </c>
      <c r="J17" s="2481" t="e">
        <f ca="1">ROUND(IF(AND(项目基本情况!B11="自然人",项目基本情况!B10="北京市"),J6*M17/(1+'数据-取费表'!C42),J18+J19+J20),0)</f>
        <v>#N/A</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t="e">
        <f ca="1">ROUND(C14*F18,0)</f>
        <v>#N/A</v>
      </c>
      <c r="D18" s="308" t="s">
        <v>1145</v>
      </c>
      <c r="E18" s="308" t="s">
        <v>1146</v>
      </c>
      <c r="F18" s="328">
        <f>'数据-取费表'!B36</f>
        <v>1.4999999999999999E-2</v>
      </c>
      <c r="G18" s="1528"/>
      <c r="H18" s="1091" t="s">
        <v>821</v>
      </c>
      <c r="I18" s="308" t="s">
        <v>1157</v>
      </c>
      <c r="J18" s="24" t="e">
        <f ca="1">ROUND(J6*M18/(1+'数据-取费表'!C42),0)</f>
        <v>#N/A</v>
      </c>
      <c r="K18" s="1476"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t="e">
        <f ca="1">SUM(C14:C18)</f>
        <v>#N/A</v>
      </c>
      <c r="D19" s="136" t="s">
        <v>1160</v>
      </c>
      <c r="E19" s="1492"/>
      <c r="F19" s="26"/>
      <c r="G19" s="1516"/>
      <c r="H19" s="1091" t="s">
        <v>823</v>
      </c>
      <c r="I19" s="308" t="s">
        <v>1161</v>
      </c>
      <c r="J19" s="24" t="e">
        <f ca="1">IF(K19="按租金收入计税",ROUND(J6*M19/(1+'数据-取费表'!C42),0),ROUND(C29*M19*0.7,0))</f>
        <v>#N/A</v>
      </c>
      <c r="K19" s="1502" t="s">
        <v>1162</v>
      </c>
      <c r="L19" s="308" t="s">
        <v>1146</v>
      </c>
      <c r="M19" s="328">
        <f>IF(K19="按租金收入计税",'数据-取费表'!B51,'数据-取费表'!B50)</f>
        <v>1.2E-2</v>
      </c>
    </row>
    <row r="20" spans="1:37" s="1529" customFormat="1" ht="18" customHeight="1">
      <c r="A20" s="1091" t="s">
        <v>826</v>
      </c>
      <c r="B20" s="308" t="s">
        <v>1163</v>
      </c>
      <c r="C20" s="24" t="e">
        <f ca="1">ROUND(C19*F20,0)</f>
        <v>#N/A</v>
      </c>
      <c r="D20" s="329" t="s">
        <v>1164</v>
      </c>
      <c r="E20" s="308" t="s">
        <v>1146</v>
      </c>
      <c r="F20" s="328">
        <f>'数据-取费表'!B37</f>
        <v>0.02</v>
      </c>
      <c r="G20" s="1528"/>
      <c r="H20" s="1091" t="s">
        <v>1113</v>
      </c>
      <c r="I20" s="160" t="s">
        <v>1165</v>
      </c>
      <c r="J20" s="25" t="e">
        <f ca="1">ROUND(M20*M21,0)</f>
        <v>#N/A</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t="e">
        <f ca="1">INDIRECT("'数据-取费表'!r"&amp;$G$1)</f>
        <v>#N/A</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t="e">
        <f ca="1">ROUND(J14*M22,0)</f>
        <v>#N/A</v>
      </c>
      <c r="K22" s="1476" t="s">
        <v>1174</v>
      </c>
      <c r="L22" s="308" t="s">
        <v>1146</v>
      </c>
      <c r="M22" s="334" t="e">
        <f ca="1">INDIRECT("'数据-取费表'!Ak"&amp;$G$1)</f>
        <v>#N/A</v>
      </c>
    </row>
    <row r="23" spans="1:37" s="1529" customFormat="1" ht="18" customHeight="1">
      <c r="A23" s="1091"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t="e">
        <f ca="1">ROUND(J13*M23,0)</f>
        <v>#N/A</v>
      </c>
      <c r="K23" s="1476" t="s">
        <v>1178</v>
      </c>
      <c r="L23" s="308" t="s">
        <v>1179</v>
      </c>
      <c r="M23" s="336" t="e">
        <f ca="1">INDIRECT("'数据-取费表'!Al"&amp;$G$1)</f>
        <v>#N/A</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t="e">
        <f ca="1">ROUND(J5*M24,0)</f>
        <v>#N/A</v>
      </c>
      <c r="K24" s="1202" t="s">
        <v>1183</v>
      </c>
      <c r="L24" s="1200" t="s">
        <v>1179</v>
      </c>
      <c r="M24" s="1196" t="e">
        <f ca="1">INDIRECT("'数据-取费表'!Am"&amp;$G$1)</f>
        <v>#N/A</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t="e">
        <f ca="1">J5-J16</f>
        <v>#N/A</v>
      </c>
      <c r="K25" s="1205" t="s">
        <v>1188</v>
      </c>
      <c r="L25" s="1206"/>
      <c r="M25" s="1207"/>
    </row>
    <row r="26" spans="1:37" ht="18" customHeight="1">
      <c r="A26" s="1091" t="s">
        <v>821</v>
      </c>
      <c r="B26" s="308" t="s">
        <v>1189</v>
      </c>
      <c r="C26" s="24" t="e">
        <f ca="1">ROUND((C19+C20)*F26,0)</f>
        <v>#N/A</v>
      </c>
      <c r="D26" s="329" t="s">
        <v>1190</v>
      </c>
      <c r="E26" s="319" t="s">
        <v>1191</v>
      </c>
      <c r="F26" s="318" t="e">
        <f ca="1">INDIRECT("'数据-取费表'!q"&amp;$G$1)</f>
        <v>#N/A</v>
      </c>
      <c r="G26" s="1516"/>
      <c r="H26" s="305" t="s">
        <v>819</v>
      </c>
      <c r="I26" s="306" t="s">
        <v>1192</v>
      </c>
      <c r="J26" s="307" t="e">
        <f ca="1">IF(J5&lt;&gt;0,ROUND(J25*(1-((1+M28)/(1+M26))^M27)/(M26-M28),0),0)</f>
        <v>#N/A</v>
      </c>
      <c r="K26" s="330" t="s">
        <v>1193</v>
      </c>
      <c r="L26" s="308" t="s">
        <v>1194</v>
      </c>
      <c r="M26" s="318" t="e">
        <f ca="1">INDIRECT("'数据-取费表'!I"&amp;$G$1)</f>
        <v>#N/A</v>
      </c>
    </row>
    <row r="27" spans="1:37" ht="18" customHeight="1">
      <c r="A27" s="1091" t="s">
        <v>823</v>
      </c>
      <c r="B27" s="308" t="s">
        <v>1195</v>
      </c>
      <c r="C27" s="24" t="e">
        <f ca="1">ROUND(F21*F26,4)</f>
        <v>#N/A</v>
      </c>
      <c r="D27" s="329" t="s">
        <v>1196</v>
      </c>
      <c r="E27" s="326"/>
      <c r="F27" s="327"/>
      <c r="G27" s="1516"/>
      <c r="H27" s="310"/>
      <c r="I27" s="311"/>
      <c r="J27" s="312"/>
      <c r="K27" s="338" t="s">
        <v>1197</v>
      </c>
      <c r="L27" s="308" t="s">
        <v>1198</v>
      </c>
      <c r="M27" s="339" t="e">
        <f ca="1">INDIRECT("'数据-取费表'!ag"&amp;$G$1)</f>
        <v>#N/A</v>
      </c>
    </row>
    <row r="28" spans="1:37" s="1529" customFormat="1" ht="18" customHeight="1">
      <c r="A28" s="1091"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t="e">
        <f ca="1">INDIRECT("'数据-取费表'!aa"&amp;$G$1)</f>
        <v>#N/A</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t="e">
        <f ca="1">ROUND((C19+C20+C23+C26)/(1-F21-C24-C27-C28),0)</f>
        <v>#N/A</v>
      </c>
      <c r="D29" s="1202"/>
      <c r="E29" s="1200"/>
      <c r="F29" s="1203"/>
      <c r="G29" s="1528"/>
      <c r="H29" s="340" t="s">
        <v>820</v>
      </c>
      <c r="I29" s="341" t="s">
        <v>1203</v>
      </c>
      <c r="J29" s="342" t="e">
        <f ca="1">ROUND(J26/(1+F40)^F41,0)</f>
        <v>#N/A</v>
      </c>
      <c r="K29" s="343" t="s">
        <v>1204</v>
      </c>
      <c r="L29" s="344"/>
      <c r="M29" s="345" t="e">
        <f ca="1">INDIRECT("'数据-取费表'!k"&amp;$G$1)</f>
        <v>#N/A</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t="e">
        <f ca="1">ROUND(C31+C36+C37+C38,0)</f>
        <v>#N/A</v>
      </c>
      <c r="D30" s="1197" t="s">
        <v>1149</v>
      </c>
      <c r="E30" s="1198"/>
      <c r="F30" s="1182"/>
      <c r="G30" s="1516"/>
      <c r="H30" s="2872"/>
      <c r="I30" s="1530"/>
      <c r="J30" s="1531"/>
      <c r="K30" s="2647"/>
      <c r="L30" s="2873"/>
      <c r="M30" s="2874"/>
    </row>
    <row r="31" spans="1:37" ht="18" customHeight="1">
      <c r="A31" s="1091" t="s">
        <v>822</v>
      </c>
      <c r="B31" s="308" t="s">
        <v>1153</v>
      </c>
      <c r="C31" s="2481" t="e">
        <f ca="1">ROUND(IF(AND(项目基本情况!B11="自然人",项目基本情况!B10="北京市"),C6*F31/(1+'数据-取费表'!C42),C32+C33+C34),0)</f>
        <v>#N/A</v>
      </c>
      <c r="D31" s="1477" t="s">
        <v>1154</v>
      </c>
      <c r="E31" s="1476"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1" t="s">
        <v>821</v>
      </c>
      <c r="B32" s="308" t="s">
        <v>1157</v>
      </c>
      <c r="C32" s="24" t="e">
        <f ca="1">IF(项目基本情况!B11="自然人","——",ROUND(C6*F32/(1+'数据-取费表'!C42),0))</f>
        <v>#N/A</v>
      </c>
      <c r="D32" s="1476" t="s">
        <v>1158</v>
      </c>
      <c r="E32" s="308" t="s">
        <v>1146</v>
      </c>
      <c r="F32" s="337">
        <f>'数据-取费表'!B41</f>
        <v>5.5000000000000007E-2</v>
      </c>
      <c r="G32" s="1516"/>
      <c r="H32" s="2872"/>
      <c r="I32" s="1530"/>
      <c r="J32" s="1531"/>
      <c r="K32" s="2647"/>
      <c r="L32" s="2873"/>
      <c r="M32" s="2874"/>
    </row>
    <row r="33" spans="1:18" ht="18" customHeight="1">
      <c r="A33" s="1091" t="s">
        <v>823</v>
      </c>
      <c r="B33" s="308" t="s">
        <v>1161</v>
      </c>
      <c r="C33" s="24" t="e">
        <f ca="1">IF(项目基本情况!B11="自然人","——",IF(D33="按租金收入计税",ROUND(C6*F33/(1+'数据-取费表'!C42),0),IF(D33="按房产原值计税",ROUND(C29*F33*0.7,0),INDIRECT("'数据-取费表'!Aj"&amp;$G$1))))</f>
        <v>#N/A</v>
      </c>
      <c r="D33" s="1502" t="s">
        <v>3183</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t="e">
        <f ca="1">IF(项目基本情况!B11="自然人","——",ROUND(F34*F35,))</f>
        <v>#N/A</v>
      </c>
      <c r="D34" s="330" t="s">
        <v>1166</v>
      </c>
      <c r="E34" s="308" t="s">
        <v>1167</v>
      </c>
      <c r="F34" s="331">
        <f>'数据-取费表'!B52</f>
        <v>1.5</v>
      </c>
      <c r="G34" s="1516"/>
      <c r="H34" s="2872"/>
      <c r="I34" s="1530"/>
      <c r="J34" s="1531"/>
      <c r="K34" s="2877"/>
      <c r="L34" s="2878"/>
      <c r="M34" s="2878"/>
    </row>
    <row r="35" spans="1:18" ht="18" customHeight="1">
      <c r="A35" s="1213"/>
      <c r="B35" s="1211"/>
      <c r="C35" s="29"/>
      <c r="D35" s="333"/>
      <c r="E35" s="308" t="s">
        <v>1171</v>
      </c>
      <c r="F35" s="309" t="e">
        <f ca="1">INDIRECT("'数据-取费表'!r"&amp;$G$1)</f>
        <v>#N/A</v>
      </c>
      <c r="G35" s="1516"/>
      <c r="H35" s="2872"/>
      <c r="I35" s="1530"/>
      <c r="J35" s="1531"/>
      <c r="K35" s="2876"/>
      <c r="L35" s="2875"/>
      <c r="M35" s="2875"/>
    </row>
    <row r="36" spans="1:18" ht="18" customHeight="1">
      <c r="A36" s="1212" t="s">
        <v>826</v>
      </c>
      <c r="B36" s="308" t="s">
        <v>1173</v>
      </c>
      <c r="C36" s="24" t="e">
        <f ca="1">ROUND(C29*F36,0)</f>
        <v>#N/A</v>
      </c>
      <c r="D36" s="1476" t="s">
        <v>1206</v>
      </c>
      <c r="E36" s="308" t="s">
        <v>1146</v>
      </c>
      <c r="F36" s="334" t="e">
        <f ca="1">INDIRECT("'数据-取费表'!Ak"&amp;$G$1)</f>
        <v>#N/A</v>
      </c>
      <c r="G36" s="1516"/>
      <c r="H36" s="2875"/>
      <c r="I36" s="1530"/>
      <c r="J36" s="1531"/>
      <c r="K36" s="2716"/>
      <c r="L36" s="2875"/>
      <c r="M36" s="2875"/>
    </row>
    <row r="37" spans="1:18" ht="18" customHeight="1">
      <c r="A37" s="1091" t="s">
        <v>862</v>
      </c>
      <c r="B37" s="308" t="s">
        <v>1177</v>
      </c>
      <c r="C37" s="24" t="e">
        <f ca="1">ROUND(C13*F37,0)</f>
        <v>#N/A</v>
      </c>
      <c r="D37" s="1476" t="s">
        <v>1178</v>
      </c>
      <c r="E37" s="308" t="s">
        <v>1179</v>
      </c>
      <c r="F37" s="336" t="e">
        <f ca="1">INDIRECT("'数据-取费表'!Al"&amp;$G$1)</f>
        <v>#N/A</v>
      </c>
      <c r="G37" s="1516"/>
      <c r="H37" s="2875"/>
      <c r="I37" s="1530"/>
      <c r="J37" s="1531"/>
      <c r="K37" s="2716"/>
      <c r="L37" s="2875"/>
      <c r="M37" s="2875"/>
    </row>
    <row r="38" spans="1:18" ht="18" customHeight="1" thickBot="1">
      <c r="A38" s="1199" t="s">
        <v>1117</v>
      </c>
      <c r="B38" s="1200" t="s">
        <v>1163</v>
      </c>
      <c r="C38" s="1201" t="e">
        <f ca="1">ROUND(C5*F38,1)</f>
        <v>#N/A</v>
      </c>
      <c r="D38" s="1202" t="s">
        <v>1183</v>
      </c>
      <c r="E38" s="1200" t="s">
        <v>1179</v>
      </c>
      <c r="F38" s="1196" t="e">
        <f ca="1">INDIRECT("'数据-取费表'!Am"&amp;$G$1)</f>
        <v>#N/A</v>
      </c>
      <c r="G38" s="1516"/>
      <c r="H38" s="2875"/>
      <c r="I38" s="1530"/>
      <c r="J38" s="1531"/>
      <c r="K38" s="2879"/>
      <c r="L38" s="2875"/>
      <c r="M38" s="2875"/>
    </row>
    <row r="39" spans="1:18" ht="24.6" customHeight="1" thickTop="1">
      <c r="A39" s="1189" t="s">
        <v>818</v>
      </c>
      <c r="B39" s="1204" t="s">
        <v>1207</v>
      </c>
      <c r="C39" s="316" t="e">
        <f ca="1">C5-C30</f>
        <v>#N/A</v>
      </c>
      <c r="D39" s="1205" t="s">
        <v>1208</v>
      </c>
      <c r="E39" s="1206"/>
      <c r="F39" s="1207"/>
      <c r="G39" s="1516"/>
      <c r="H39" s="2875"/>
      <c r="I39" s="1530"/>
      <c r="J39" s="1531"/>
      <c r="K39" s="2879"/>
      <c r="L39" s="2875"/>
      <c r="M39" s="2875"/>
    </row>
    <row r="40" spans="1:18" ht="18" customHeight="1">
      <c r="A40" s="305" t="s">
        <v>819</v>
      </c>
      <c r="B40" s="306" t="s">
        <v>1209</v>
      </c>
      <c r="C40" s="307" t="e">
        <f ca="1">ROUND(C39*(1-((1+F42)/(1+F40))^F41)/(F40-F42),0)</f>
        <v>#N/A</v>
      </c>
      <c r="D40" s="330" t="s">
        <v>1193</v>
      </c>
      <c r="E40" s="308" t="s">
        <v>1194</v>
      </c>
      <c r="F40" s="318" t="e">
        <f ca="1">INDIRECT("'数据-取费表'!I"&amp;$G$1)</f>
        <v>#N/A</v>
      </c>
      <c r="G40" s="1516"/>
      <c r="H40" s="1593"/>
      <c r="I40" s="1530"/>
      <c r="J40" s="1531"/>
      <c r="K40" s="2879"/>
      <c r="L40" s="1593"/>
      <c r="M40" s="1593"/>
    </row>
    <row r="41" spans="1:18" ht="18" customHeight="1">
      <c r="A41" s="310"/>
      <c r="B41" s="311"/>
      <c r="C41" s="312"/>
      <c r="D41" s="338" t="s">
        <v>1210</v>
      </c>
      <c r="E41" s="308" t="s">
        <v>1198</v>
      </c>
      <c r="F41" s="339" t="e">
        <f ca="1">IF(INDIRECT("'数据-取费表'!af"&amp;$G$1)=0,INDIRECT("'数据-取费表'!ae"&amp;$G$1),INDIRECT("'数据-取费表'!af"&amp;$G$1))</f>
        <v>#N/A</v>
      </c>
      <c r="G41" s="1516"/>
      <c r="H41" s="1303"/>
      <c r="I41" s="1530"/>
      <c r="J41" s="1531"/>
      <c r="K41" s="2716"/>
      <c r="L41" s="1303"/>
      <c r="M41" s="1303"/>
    </row>
    <row r="42" spans="1:18" ht="18" customHeight="1">
      <c r="A42" s="314"/>
      <c r="B42" s="315"/>
      <c r="C42" s="316"/>
      <c r="D42" s="333"/>
      <c r="E42" s="308" t="s">
        <v>1201</v>
      </c>
      <c r="F42" s="318" t="e">
        <f ca="1">INDIRECT("'数据-取费表'!v"&amp;$G$1)</f>
        <v>#N/A</v>
      </c>
      <c r="G42" s="1516"/>
      <c r="H42" s="1303"/>
      <c r="I42" s="1530"/>
      <c r="J42" s="1531"/>
      <c r="K42" s="2716"/>
      <c r="L42" s="1303"/>
      <c r="M42" s="1303"/>
    </row>
    <row r="43" spans="1:18" ht="18" customHeight="1" thickBot="1">
      <c r="A43" s="340" t="s">
        <v>820</v>
      </c>
      <c r="B43" s="341" t="s">
        <v>1211</v>
      </c>
      <c r="C43" s="342" t="e">
        <f ca="1">ROUND(C40/F43,0)</f>
        <v>#N/A</v>
      </c>
      <c r="D43" s="343" t="s">
        <v>1212</v>
      </c>
      <c r="E43" s="344" t="s">
        <v>1213</v>
      </c>
      <c r="F43" s="345" t="e">
        <f ca="1">INDIRECT("'数据-取费表'!k"&amp;$G$1)</f>
        <v>#N/A</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#N/A</v>
      </c>
      <c r="D45" s="1605" t="s">
        <v>1328</v>
      </c>
      <c r="E45" s="1532"/>
      <c r="F45" s="1532"/>
      <c r="O45" s="1535" t="s">
        <v>1243</v>
      </c>
      <c r="P45" s="1593"/>
      <c r="Q45" s="1593"/>
      <c r="R45" s="1593"/>
    </row>
    <row r="46" spans="1:18" s="1516" customFormat="1" ht="13.5" thickBot="1">
      <c r="A46" s="1536" t="s">
        <v>1244</v>
      </c>
      <c r="C46" s="1537" t="e">
        <f ca="1">ROUND(C45/10000,0)</f>
        <v>#N/A</v>
      </c>
      <c r="D46" s="1538" t="str">
        <f>C2</f>
        <v>万元</v>
      </c>
      <c r="I46" s="1539" t="s">
        <v>1245</v>
      </c>
      <c r="J46" s="1540"/>
      <c r="K46" s="1541"/>
      <c r="L46" s="1542" t="e">
        <f ca="1">IF(M47="住宅",0,IF(L48&gt;J51,L60,J60))</f>
        <v>#N/A</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31"/>
      <c r="I47" s="1546" t="s">
        <v>1250</v>
      </c>
      <c r="J47" s="1547" t="s">
        <v>3203</v>
      </c>
      <c r="K47" s="1548" t="s">
        <v>1251</v>
      </c>
      <c r="L47" s="1549" t="e">
        <f ca="1">INDIRECT("'数据-取费表'!d"&amp;$G$1)</f>
        <v>#N/A</v>
      </c>
      <c r="M47" s="1512" t="str">
        <f>IF(ISNUMBER(FIND("住宅",C1)),"住宅","非住宅")</f>
        <v>非住宅</v>
      </c>
      <c r="O47" s="1550" t="s">
        <v>827</v>
      </c>
      <c r="P47" s="1551" t="s">
        <v>1252</v>
      </c>
      <c r="Q47" s="1552" t="e">
        <f ca="1">C40+J29</f>
        <v>#N/A</v>
      </c>
      <c r="R47" s="1552" t="s">
        <v>1253</v>
      </c>
    </row>
    <row r="48" spans="1:18" s="1516" customFormat="1" ht="28.5" thickBot="1">
      <c r="A48" s="1220" t="s">
        <v>863</v>
      </c>
      <c r="B48" s="306" t="s">
        <v>1125</v>
      </c>
      <c r="C48" s="1491" t="e">
        <f ca="1">C49+C53+C55</f>
        <v>#N/A</v>
      </c>
      <c r="D48" s="1222"/>
      <c r="E48" s="1223"/>
      <c r="F48" s="1071"/>
      <c r="G48" s="731"/>
      <c r="H48" s="732"/>
      <c r="I48" s="1553" t="s">
        <v>1254</v>
      </c>
      <c r="J48" s="1554" t="s">
        <v>3185</v>
      </c>
      <c r="K48" s="1555" t="s">
        <v>1255</v>
      </c>
      <c r="L48" s="1556" t="e">
        <f ca="1">INDIRECT("'数据-取费表'!f"&amp;$G$1)</f>
        <v>#N/A</v>
      </c>
      <c r="O48" s="1550" t="s">
        <v>828</v>
      </c>
      <c r="P48" s="1551" t="s">
        <v>1256</v>
      </c>
      <c r="Q48" s="1552" t="e">
        <f ca="1">J60</f>
        <v>#N/A</v>
      </c>
      <c r="R48" s="1552" t="s">
        <v>1257</v>
      </c>
    </row>
    <row r="49" spans="1:18" s="1516" customFormat="1" ht="13.5" thickBot="1">
      <c r="A49" s="1084" t="s">
        <v>864</v>
      </c>
      <c r="B49" s="1503" t="s">
        <v>1214</v>
      </c>
      <c r="C49" s="1224" t="e">
        <f ca="1">ROUND(F49*F51*F50*(1-F52),0)</f>
        <v>#N/A</v>
      </c>
      <c r="D49" s="1164" t="s">
        <v>1128</v>
      </c>
      <c r="E49" s="1504" t="s">
        <v>1215</v>
      </c>
      <c r="F49" s="1169"/>
      <c r="G49" s="1557"/>
      <c r="H49" s="732"/>
      <c r="I49" s="1553" t="s">
        <v>1258</v>
      </c>
      <c r="J49" s="1558">
        <v>2018</v>
      </c>
      <c r="K49" s="1555" t="s">
        <v>1259</v>
      </c>
      <c r="L49" s="1559"/>
      <c r="O49" s="1560" t="s">
        <v>829</v>
      </c>
      <c r="P49" s="1551" t="s">
        <v>1260</v>
      </c>
      <c r="Q49" s="1552" t="e">
        <f ca="1">C29</f>
        <v>#N/A</v>
      </c>
      <c r="R49" s="1552" t="s">
        <v>1253</v>
      </c>
    </row>
    <row r="50" spans="1:18" s="1516" customFormat="1" ht="13.5" thickBot="1">
      <c r="A50" s="1085"/>
      <c r="B50" s="1088"/>
      <c r="C50" s="1089"/>
      <c r="D50" s="1062"/>
      <c r="E50" s="1165" t="s">
        <v>1130</v>
      </c>
      <c r="F50" s="1166" t="e">
        <f ca="1">F7</f>
        <v>#N/A</v>
      </c>
      <c r="H50" s="732"/>
      <c r="I50" s="1553" t="s">
        <v>1261</v>
      </c>
      <c r="J50" s="1561">
        <f>SUMPRODUCT((I63:I65=J47)*(J62:L62=J48)*(J63:L65))</f>
        <v>60</v>
      </c>
      <c r="K50" s="1555" t="s">
        <v>1262</v>
      </c>
      <c r="L50" s="1559"/>
      <c r="M50" s="1562"/>
      <c r="O50" s="1560" t="s">
        <v>830</v>
      </c>
      <c r="P50" s="1551" t="s">
        <v>1263</v>
      </c>
      <c r="Q50" s="1563" t="e">
        <f ca="1">J58</f>
        <v>#N/A</v>
      </c>
      <c r="R50" s="1552"/>
    </row>
    <row r="51" spans="1:18" s="1516" customFormat="1" ht="13.5" thickBot="1">
      <c r="A51" s="1086"/>
      <c r="B51" s="1088"/>
      <c r="C51" s="1089"/>
      <c r="D51" s="1062"/>
      <c r="E51" s="1090" t="s">
        <v>1131</v>
      </c>
      <c r="F51" s="309" t="e">
        <f ca="1">F8</f>
        <v>#N/A</v>
      </c>
      <c r="I51" s="1564" t="s">
        <v>1264</v>
      </c>
      <c r="J51" s="1565">
        <f>IF(J49="",J50,J49+J50-YEAR('数据-取费表'!B2))</f>
        <v>56</v>
      </c>
      <c r="K51" s="1566" t="s">
        <v>1265</v>
      </c>
      <c r="L51" s="1567" t="e">
        <f ca="1">ROUND(-PV(INDIRECT("'数据-取费表'!h"&amp;$G$1),J51,(C39-C13*C76),0),0)</f>
        <v>#N/A</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t="e">
        <f ca="1">J53</f>
        <v>#N/A</v>
      </c>
      <c r="R52" s="1552" t="s">
        <v>1270</v>
      </c>
    </row>
    <row r="53" spans="1:18" s="1516" customFormat="1" ht="30.75" customHeight="1" thickBot="1">
      <c r="A53" s="1221" t="s">
        <v>865</v>
      </c>
      <c r="B53" s="329" t="s">
        <v>1133</v>
      </c>
      <c r="C53" s="322">
        <f ca="1">ROUND(IF(F53="押一",C49/12*F11,IF(F53="押二",C49/12*2*F11,IF(F53="押三",C49/12*3*F11,C54*F11))),0)</f>
        <v>0</v>
      </c>
      <c r="D53" s="1498" t="s">
        <v>2618</v>
      </c>
      <c r="E53" s="319" t="s">
        <v>1134</v>
      </c>
      <c r="F53" s="1226"/>
      <c r="I53" s="1571" t="s">
        <v>1271</v>
      </c>
      <c r="J53" s="2333" t="e">
        <f ca="1">IF(M47="住宅",IF(D1="——",MAX(J51,L48),MAX(J51,L48-'数据-取费表'!B24)),IF(D1="——",MIN(J51,L48),MIN(J51,L48-'数据-取费表'!B24)))</f>
        <v>#N/A</v>
      </c>
      <c r="K53" s="3507" t="s">
        <v>1272</v>
      </c>
      <c r="L53" s="3508"/>
      <c r="O53" s="1550" t="s">
        <v>833</v>
      </c>
      <c r="P53" s="1551" t="s">
        <v>1273</v>
      </c>
      <c r="Q53" s="1552" t="e">
        <f ca="1">Q47+Q48</f>
        <v>#N/A</v>
      </c>
      <c r="R53" s="1552" t="s">
        <v>834</v>
      </c>
    </row>
    <row r="54" spans="1:18" s="1516" customFormat="1" ht="13.5" thickBot="1">
      <c r="A54" s="1084"/>
      <c r="B54" s="1606" t="s">
        <v>1327</v>
      </c>
      <c r="C54" s="1068"/>
      <c r="D54" s="1498"/>
      <c r="E54" s="1506"/>
      <c r="F54" s="1572"/>
      <c r="I54" s="15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#N/A</v>
      </c>
      <c r="K55" s="1577" t="s">
        <v>1276</v>
      </c>
      <c r="L55" s="1578"/>
      <c r="O55" s="1543" t="s">
        <v>1246</v>
      </c>
      <c r="P55" s="1544" t="s">
        <v>1247</v>
      </c>
      <c r="Q55" s="1545" t="s">
        <v>1248</v>
      </c>
      <c r="R55" s="1545" t="s">
        <v>1249</v>
      </c>
    </row>
    <row r="56" spans="1:18" s="1516" customFormat="1" ht="36" customHeight="1" thickTop="1" thickBot="1">
      <c r="A56" s="1066">
        <v>2</v>
      </c>
      <c r="B56" s="1067" t="s">
        <v>1138</v>
      </c>
      <c r="C56" s="238" t="e">
        <f ca="1">C13</f>
        <v>#N/A</v>
      </c>
      <c r="D56" s="1579"/>
      <c r="E56" s="1580"/>
      <c r="F56" s="1572"/>
      <c r="I56" s="1581" t="s">
        <v>1278</v>
      </c>
      <c r="J56" s="1582" t="s">
        <v>3178</v>
      </c>
      <c r="K56" s="1553" t="s">
        <v>1279</v>
      </c>
      <c r="L56" s="1556" t="e">
        <f ca="1">IF(L48&lt;J51,"——",L48-J51)</f>
        <v>#N/A</v>
      </c>
      <c r="O56" s="1550" t="s">
        <v>827</v>
      </c>
      <c r="P56" s="1551" t="s">
        <v>1252</v>
      </c>
      <c r="Q56" s="1552" t="e">
        <f ca="1">C40+J29</f>
        <v>#N/A</v>
      </c>
      <c r="R56" s="1552" t="s">
        <v>1253</v>
      </c>
    </row>
    <row r="57" spans="1:18" s="1516" customFormat="1" ht="24.75" thickBot="1">
      <c r="A57" s="1583"/>
      <c r="B57" s="1059" t="s">
        <v>1202</v>
      </c>
      <c r="C57" s="244" t="e">
        <f ca="1">C29</f>
        <v>#N/A</v>
      </c>
      <c r="D57" s="1584"/>
      <c r="E57" s="1585"/>
      <c r="F57" s="1586"/>
      <c r="I57" s="1587" t="s">
        <v>1280</v>
      </c>
      <c r="J57" s="1588" t="e">
        <f ca="1">IF(OR(M47="住宅",J51&lt;L48,J56="是"),"——",J51-L48)</f>
        <v>#N/A</v>
      </c>
      <c r="K57" s="1553" t="s">
        <v>1329</v>
      </c>
      <c r="L57" s="1556" t="e">
        <f ca="1">IF(L48&lt;J51,"——",IF(L55="比较法",L49,IF(L55="基准地价",L50,L51)))</f>
        <v>#N/A</v>
      </c>
      <c r="O57" s="1550" t="s">
        <v>828</v>
      </c>
      <c r="P57" s="1551" t="s">
        <v>1330</v>
      </c>
      <c r="Q57" s="1552" t="e">
        <f ca="1">L60</f>
        <v>#N/A</v>
      </c>
      <c r="R57" s="1552" t="s">
        <v>1331</v>
      </c>
    </row>
    <row r="58" spans="1:18" s="1516" customFormat="1" ht="24.75" thickBot="1">
      <c r="A58" s="321" t="s">
        <v>817</v>
      </c>
      <c r="B58" s="1067" t="s">
        <v>1148</v>
      </c>
      <c r="C58" s="322" t="e">
        <f ca="1">ROUND(C59+C64+C65+C66,0)</f>
        <v>#N/A</v>
      </c>
      <c r="D58" s="1069" t="s">
        <v>1149</v>
      </c>
      <c r="E58" s="1070"/>
      <c r="F58" s="1071"/>
      <c r="I58" s="1587" t="s">
        <v>1284</v>
      </c>
      <c r="J58" s="1589" t="e">
        <f ca="1">IF(J55&lt;0.4,0.4,J55)</f>
        <v>#N/A</v>
      </c>
      <c r="K58" s="1566" t="s">
        <v>1332</v>
      </c>
      <c r="L58" s="1556" t="e">
        <f ca="1">ROUND(POWER(1+L52,L47-L48)*(POWER(1+L52,L48)-1)/(POWER(1+L52,L47)-1),4)</f>
        <v>#N/A</v>
      </c>
      <c r="O58" s="1560" t="s">
        <v>829</v>
      </c>
      <c r="P58" s="1551" t="s">
        <v>1286</v>
      </c>
      <c r="Q58" s="1552">
        <f>IF(L55="比较法",L49,IF(L55="基准地价",L50,0))</f>
        <v>0</v>
      </c>
      <c r="R58" s="1552" t="s">
        <v>1253</v>
      </c>
    </row>
    <row r="59" spans="1:18" s="1516" customFormat="1" ht="24.75" thickBot="1">
      <c r="A59" s="1091" t="s">
        <v>822</v>
      </c>
      <c r="B59" s="1059" t="s">
        <v>1153</v>
      </c>
      <c r="C59" s="2481" t="e">
        <f ca="1">ROUND(IF(AND(项目基本情况!B11="自然人",项目基本情况!B10="北京市"),C49*F59/(1+'数据-取费表'!C42),C60+C61+C62),0)</f>
        <v>#N/A</v>
      </c>
      <c r="D59" s="1072" t="s">
        <v>1154</v>
      </c>
      <c r="E59" s="1073" t="s">
        <v>1155</v>
      </c>
      <c r="F59" s="2480" t="str">
        <f>IF(项目基本情况!B11="企业","——",IF('数据-取费表'!B10="住宅",IF(F49*F50*F51/12/(1+'数据-取费表'!F30)&gt;100000,4%,2.5%),IF(F49*F50*F51/12/(1+'数据-取费表'!F30)&gt;100000,12%,7%)))</f>
        <v>——</v>
      </c>
      <c r="I59" s="1587" t="s">
        <v>1287</v>
      </c>
      <c r="J59" s="1588" t="e">
        <f ca="1">IF(OR(M47="住宅",J51&lt;L48,J56="是"),"——",ROUND(C29*J58,0))</f>
        <v>#N/A</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#N/A</v>
      </c>
      <c r="M59" s="1513" t="e">
        <f ca="1">ROUND(POWER(1+L52,L47-(J51+'数据-取费表'!B24))*(POWER(1+L52,(J51+'数据-取费表'!B24))-1)/(POWER(1+L52,L47)-1),4)</f>
        <v>#N/A</v>
      </c>
      <c r="N59" s="1513" t="e">
        <f ca="1">ROUND(POWER(1+L52,L47-(J51+'数据-取费表'!B20))*(POWER(1+L52,(J51+'数据-取费表'!B20))-1)/(POWER(1+L52,L47)-1),4)</f>
        <v>#N/A</v>
      </c>
      <c r="O59" s="1560" t="s">
        <v>830</v>
      </c>
      <c r="P59" s="1551" t="s">
        <v>1288</v>
      </c>
      <c r="Q59" s="1563">
        <f>L52</f>
        <v>0</v>
      </c>
      <c r="R59" s="1552"/>
    </row>
    <row r="60" spans="1:18" s="1516" customFormat="1" ht="16.5" thickBot="1">
      <c r="A60" s="1091" t="s">
        <v>821</v>
      </c>
      <c r="B60" s="1059" t="s">
        <v>1157</v>
      </c>
      <c r="C60" s="24" t="e">
        <f ca="1">IF(项目基本情况!B11="自然人","——",ROUND(C48*F60/(1+'数据-取费表'!C42),0))</f>
        <v>#N/A</v>
      </c>
      <c r="D60" s="1073" t="s">
        <v>1158</v>
      </c>
      <c r="E60" s="1059" t="s">
        <v>1146</v>
      </c>
      <c r="F60" s="337">
        <f t="shared" ref="F60:F66" si="0">F32</f>
        <v>5.5000000000000007E-2</v>
      </c>
      <c r="I60" s="1590" t="s">
        <v>1289</v>
      </c>
      <c r="J60" s="1591" t="e">
        <f ca="1">IF(OR(M47="住宅",J51&lt;L48,J56="是"),"0",ROUND(J59/(1+J52)^J53,0))</f>
        <v>#N/A</v>
      </c>
      <c r="K60" s="1592" t="s">
        <v>1290</v>
      </c>
      <c r="L60" s="1591" t="e">
        <f ca="1">IF(OR(M47="住宅",L48&lt;J51),0,ROUND(L57*(L58/L59-1),0))</f>
        <v>#N/A</v>
      </c>
      <c r="O60" s="1560" t="s">
        <v>831</v>
      </c>
      <c r="P60" s="1551" t="s">
        <v>1291</v>
      </c>
      <c r="Q60" s="1552" t="e">
        <f ca="1">L58</f>
        <v>#N/A</v>
      </c>
      <c r="R60" s="1552" t="s">
        <v>1292</v>
      </c>
    </row>
    <row r="61" spans="1:18" s="1516" customFormat="1" ht="13.5" thickBot="1">
      <c r="A61" s="1091" t="s">
        <v>1216</v>
      </c>
      <c r="B61" s="1059" t="s">
        <v>1217</v>
      </c>
      <c r="C61" s="24" t="e">
        <f ca="1">IF(项目基本情况!B11="自然人","——",IF(D61="按租金收入计税",ROUND(C49*F61/(1+'数据-取费表'!C42),0),IF(D61="按房产原值计税",ROUND(C57*F61*0.7,0),INDIRECT("'数据-取费表'!Aj"&amp;$G$1))))</f>
        <v>#N/A</v>
      </c>
      <c r="D61" s="1502" t="s">
        <v>1162</v>
      </c>
      <c r="E61" s="1059" t="s">
        <v>1218</v>
      </c>
      <c r="F61" s="328">
        <f t="shared" si="0"/>
        <v>0.12</v>
      </c>
      <c r="I61" s="1593"/>
      <c r="J61" s="1593"/>
      <c r="K61" s="1593"/>
      <c r="L61" s="1593"/>
      <c r="O61" s="1560" t="s">
        <v>832</v>
      </c>
      <c r="P61" s="1551" t="str">
        <f>K59</f>
        <v>建筑物剩余耐用年限下的土地年期修正系数Kn</v>
      </c>
      <c r="Q61" s="1552" t="e">
        <f ca="1">L59</f>
        <v>#N/A</v>
      </c>
      <c r="R61" s="1552" t="s">
        <v>1293</v>
      </c>
    </row>
    <row r="62" spans="1:18" s="1516" customFormat="1" ht="13.5" thickBot="1">
      <c r="A62" s="1091" t="s">
        <v>1219</v>
      </c>
      <c r="B62" s="1058" t="s">
        <v>1220</v>
      </c>
      <c r="C62" s="25" t="e">
        <f ca="1">IF(项目基本情况!B11="自然人","——",ROUND(F62*F63,0))</f>
        <v>#N/A</v>
      </c>
      <c r="D62" s="1074" t="s">
        <v>1221</v>
      </c>
      <c r="E62" s="1059" t="s">
        <v>1222</v>
      </c>
      <c r="F62" s="331">
        <f t="shared" si="0"/>
        <v>1.5</v>
      </c>
      <c r="I62" s="1594" t="s">
        <v>1294</v>
      </c>
      <c r="J62" s="1595" t="s">
        <v>1295</v>
      </c>
      <c r="K62" s="1595" t="s">
        <v>1296</v>
      </c>
      <c r="L62" s="1595" t="s">
        <v>1297</v>
      </c>
      <c r="M62" s="1596" t="s">
        <v>1298</v>
      </c>
      <c r="O62" s="1550" t="s">
        <v>833</v>
      </c>
      <c r="P62" s="1551" t="s">
        <v>1299</v>
      </c>
      <c r="Q62" s="1552" t="e">
        <f ca="1">Q56+Q57</f>
        <v>#N/A</v>
      </c>
      <c r="R62" s="1552" t="s">
        <v>834</v>
      </c>
    </row>
    <row r="63" spans="1:18" s="1516" customFormat="1" ht="13.5" thickBot="1">
      <c r="A63" s="332"/>
      <c r="B63" s="1065"/>
      <c r="C63" s="29"/>
      <c r="D63" s="1075"/>
      <c r="E63" s="1059" t="s">
        <v>1223</v>
      </c>
      <c r="F63" s="309" t="e">
        <f t="shared" ca="1" si="0"/>
        <v>#N/A</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t="e">
        <f ca="1">ROUND(C57*F64,0)</f>
        <v>#N/A</v>
      </c>
      <c r="D64" s="1073" t="s">
        <v>1226</v>
      </c>
      <c r="E64" s="1059" t="s">
        <v>1218</v>
      </c>
      <c r="F64" s="334" t="e">
        <f t="shared" ca="1" si="0"/>
        <v>#N/A</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t="e">
        <f ca="1">ROUND(C56*F65,0)</f>
        <v>#N/A</v>
      </c>
      <c r="D65" s="1073" t="s">
        <v>1178</v>
      </c>
      <c r="E65" s="1059" t="s">
        <v>1179</v>
      </c>
      <c r="F65" s="336" t="e">
        <f t="shared" ca="1" si="0"/>
        <v>#N/A</v>
      </c>
      <c r="I65" s="1594" t="s">
        <v>1303</v>
      </c>
      <c r="J65" s="1595">
        <v>40</v>
      </c>
      <c r="K65" s="1595">
        <v>30</v>
      </c>
      <c r="L65" s="1595">
        <v>50</v>
      </c>
      <c r="M65" s="1597">
        <v>0.02</v>
      </c>
      <c r="O65" s="1550" t="s">
        <v>827</v>
      </c>
      <c r="P65" s="1551" t="s">
        <v>1304</v>
      </c>
      <c r="Q65" s="1552" t="e">
        <f ca="1">C40+J29</f>
        <v>#N/A</v>
      </c>
      <c r="R65" s="1552" t="s">
        <v>1253</v>
      </c>
    </row>
    <row r="66" spans="1:18" s="1516" customFormat="1" ht="16.5" thickBot="1">
      <c r="A66" s="1091" t="s">
        <v>1228</v>
      </c>
      <c r="B66" s="1059" t="s">
        <v>1163</v>
      </c>
      <c r="C66" s="24" t="e">
        <f ca="1">ROUND(C48*F66,0)</f>
        <v>#N/A</v>
      </c>
      <c r="D66" s="1073" t="s">
        <v>1229</v>
      </c>
      <c r="E66" s="1059" t="s">
        <v>1146</v>
      </c>
      <c r="F66" s="318" t="e">
        <f t="shared" ca="1" si="0"/>
        <v>#N/A</v>
      </c>
      <c r="O66" s="1550" t="s">
        <v>828</v>
      </c>
      <c r="P66" s="1551" t="s">
        <v>1282</v>
      </c>
      <c r="Q66" s="1552" t="e">
        <f ca="1">L60</f>
        <v>#N/A</v>
      </c>
      <c r="R66" s="1552" t="s">
        <v>1305</v>
      </c>
    </row>
    <row r="67" spans="1:18" s="1516" customFormat="1" ht="16.5" thickBot="1">
      <c r="A67" s="1066" t="s">
        <v>818</v>
      </c>
      <c r="B67" s="1076" t="s">
        <v>1187</v>
      </c>
      <c r="C67" s="322" t="e">
        <f ca="1">C48-C58</f>
        <v>#N/A</v>
      </c>
      <c r="D67" s="1072" t="s">
        <v>1188</v>
      </c>
      <c r="E67" s="1077"/>
      <c r="F67" s="1078"/>
      <c r="O67" s="1560" t="s">
        <v>829</v>
      </c>
      <c r="P67" s="1551" t="s">
        <v>1286</v>
      </c>
      <c r="Q67" s="1598" t="e">
        <f ca="1">L51</f>
        <v>#N/A</v>
      </c>
      <c r="R67" s="1552" t="s">
        <v>1306</v>
      </c>
    </row>
    <row r="68" spans="1:18" s="1516" customFormat="1" ht="16.5" thickBot="1">
      <c r="A68" s="1056" t="s">
        <v>819</v>
      </c>
      <c r="B68" s="1057" t="s">
        <v>1209</v>
      </c>
      <c r="C68" s="307" t="e">
        <f ca="1">ROUND(C67*(1-((1+F70)/(1+F68))^F69)/(F68-F70),0)</f>
        <v>#N/A</v>
      </c>
      <c r="D68" s="1074" t="s">
        <v>1193</v>
      </c>
      <c r="E68" s="1059" t="s">
        <v>1194</v>
      </c>
      <c r="F68" s="318" t="e">
        <f ca="1">F40</f>
        <v>#N/A</v>
      </c>
      <c r="O68" s="1560" t="s">
        <v>830</v>
      </c>
      <c r="P68" s="1599" t="s">
        <v>1307</v>
      </c>
      <c r="Q68" s="1552" t="e">
        <f ca="1">ROUND(Q69-Q70*Q71,0)</f>
        <v>#N/A</v>
      </c>
      <c r="R68" s="1552" t="s">
        <v>838</v>
      </c>
    </row>
    <row r="69" spans="1:18" s="1516" customFormat="1" ht="13.5" thickBot="1">
      <c r="A69" s="1060"/>
      <c r="B69" s="1061"/>
      <c r="C69" s="312"/>
      <c r="D69" s="1079" t="s">
        <v>1197</v>
      </c>
      <c r="E69" s="1059" t="s">
        <v>1198</v>
      </c>
      <c r="F69" s="339" t="e">
        <f ca="1">F41</f>
        <v>#N/A</v>
      </c>
      <c r="O69" s="1560" t="s">
        <v>835</v>
      </c>
      <c r="P69" s="1599" t="s">
        <v>1308</v>
      </c>
      <c r="Q69" s="1552" t="e">
        <f ca="1">C39</f>
        <v>#N/A</v>
      </c>
      <c r="R69" s="1552" t="s">
        <v>1253</v>
      </c>
    </row>
    <row r="70" spans="1:18" s="1516" customFormat="1" ht="13.5" thickBot="1">
      <c r="A70" s="1063"/>
      <c r="B70" s="1064"/>
      <c r="C70" s="316"/>
      <c r="D70" s="1075"/>
      <c r="E70" s="1059" t="s">
        <v>1201</v>
      </c>
      <c r="F70" s="1163" t="e">
        <f ca="1">F42</f>
        <v>#N/A</v>
      </c>
      <c r="O70" s="1560" t="s">
        <v>836</v>
      </c>
      <c r="P70" s="1599" t="s">
        <v>1309</v>
      </c>
      <c r="Q70" s="1552" t="e">
        <f ca="1">C13</f>
        <v>#N/A</v>
      </c>
      <c r="R70" s="1552" t="s">
        <v>1253</v>
      </c>
    </row>
    <row r="71" spans="1:18" s="1516" customFormat="1" ht="13.5" thickBot="1">
      <c r="A71" s="1080" t="s">
        <v>820</v>
      </c>
      <c r="B71" s="1081" t="s">
        <v>1211</v>
      </c>
      <c r="C71" s="342" t="e">
        <f ca="1">ROUND(C68/F71,0)</f>
        <v>#N/A</v>
      </c>
      <c r="D71" s="1082" t="s">
        <v>1212</v>
      </c>
      <c r="E71" s="1083" t="s">
        <v>1213</v>
      </c>
      <c r="F71" s="345" t="e">
        <f ca="1">F43</f>
        <v>#N/A</v>
      </c>
      <c r="O71" s="1560" t="s">
        <v>837</v>
      </c>
      <c r="P71" s="1599" t="s">
        <v>1310</v>
      </c>
      <c r="Q71" s="1563" t="e">
        <f ca="1">C76</f>
        <v>#N/A</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#N/A</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#N/A</v>
      </c>
      <c r="R74" s="1552" t="s">
        <v>1293</v>
      </c>
    </row>
    <row r="75" spans="1:18" ht="13.5" thickBot="1">
      <c r="A75" s="1516"/>
      <c r="B75" s="346" t="s">
        <v>1230</v>
      </c>
      <c r="C75" s="347" t="e">
        <f ca="1">ROUND(C13*C76,0)</f>
        <v>#N/A</v>
      </c>
      <c r="D75" s="1516"/>
      <c r="E75" s="1516"/>
      <c r="F75" s="1516"/>
      <c r="K75" s="1534"/>
      <c r="L75" s="1516"/>
      <c r="O75" s="1550" t="s">
        <v>833</v>
      </c>
      <c r="P75" s="1551" t="s">
        <v>1273</v>
      </c>
      <c r="Q75" s="1552" t="e">
        <f ca="1">Q65+Q66</f>
        <v>#N/A</v>
      </c>
      <c r="R75" s="1552" t="s">
        <v>834</v>
      </c>
    </row>
    <row r="76" spans="1:18">
      <c r="B76" s="348" t="s">
        <v>1231</v>
      </c>
      <c r="C76" s="349" t="e">
        <f ca="1">INDIRECT("'数据-取费表'!j"&amp;$G$1)</f>
        <v>#N/A</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2939</v>
      </c>
      <c r="B1" s="3009"/>
      <c r="C1" s="3021"/>
      <c r="D1" s="3021"/>
      <c r="E1" s="3010"/>
      <c r="F1" s="3011"/>
      <c r="G1" s="3012"/>
      <c r="J1" s="3015" t="s">
        <v>2818</v>
      </c>
      <c r="K1" s="3016"/>
      <c r="L1" s="3016"/>
      <c r="M1" s="3016"/>
      <c r="N1" s="3016"/>
      <c r="O1" s="3016"/>
      <c r="P1" s="3016"/>
      <c r="Q1" s="3016"/>
      <c r="R1" s="3017"/>
      <c r="S1" s="3018"/>
      <c r="T1" s="3018"/>
      <c r="U1" s="3018"/>
    </row>
    <row r="2" spans="1:22" s="3030" customFormat="1" ht="13.15" customHeight="1">
      <c r="A2" s="1517" t="s">
        <v>2819</v>
      </c>
      <c r="B2" s="3020" t="e">
        <f>C40</f>
        <v>#DIV/0!</v>
      </c>
      <c r="C2" s="3021" t="s">
        <v>2820</v>
      </c>
      <c r="D2" s="3021"/>
      <c r="E2" s="3022"/>
      <c r="F2" s="3023"/>
      <c r="G2" s="3024"/>
      <c r="H2" s="3025"/>
      <c r="I2" s="3026"/>
      <c r="J2" s="3515" t="s">
        <v>2821</v>
      </c>
      <c r="K2" s="3516"/>
      <c r="L2" s="3027" t="s">
        <v>2822</v>
      </c>
      <c r="M2" s="3027" t="s">
        <v>2823</v>
      </c>
      <c r="N2" s="3027" t="s">
        <v>2824</v>
      </c>
      <c r="O2" s="3027" t="s">
        <v>2825</v>
      </c>
      <c r="P2" s="3027" t="s">
        <v>2826</v>
      </c>
      <c r="Q2" s="3028" t="s">
        <v>2827</v>
      </c>
      <c r="R2" s="3029" t="s">
        <v>2828</v>
      </c>
      <c r="S2" s="3018"/>
      <c r="T2" s="3018"/>
      <c r="U2" s="3018"/>
      <c r="V2" s="3026"/>
    </row>
    <row r="3" spans="1:22" s="3030" customFormat="1" ht="13.15" customHeight="1">
      <c r="A3" s="3031" t="s">
        <v>2829</v>
      </c>
      <c r="B3" s="3032" t="e">
        <f>ROUND(B2*10000/B4,0)</f>
        <v>#DIV/0!</v>
      </c>
      <c r="C3" s="3021" t="s">
        <v>2830</v>
      </c>
      <c r="D3" s="3021"/>
      <c r="E3" s="3022"/>
      <c r="F3" s="3023"/>
      <c r="G3" s="3024"/>
      <c r="H3" s="3025"/>
      <c r="I3" s="3026"/>
      <c r="J3" s="3517" t="s">
        <v>2831</v>
      </c>
      <c r="K3" s="3518"/>
      <c r="L3" s="3033"/>
      <c r="M3" s="3033"/>
      <c r="N3" s="3033"/>
      <c r="O3" s="3033"/>
      <c r="P3" s="3033"/>
      <c r="Q3" s="3034"/>
      <c r="R3" s="3035">
        <f>SUM(L3:Q3)</f>
        <v>0</v>
      </c>
      <c r="S3" s="3018"/>
      <c r="T3" s="3018"/>
      <c r="U3" s="3018"/>
      <c r="V3" s="3026"/>
    </row>
    <row r="4" spans="1:22" s="3030" customFormat="1" ht="13.15" customHeight="1">
      <c r="A4" s="3036" t="s">
        <v>2832</v>
      </c>
      <c r="B4" s="3037"/>
      <c r="C4" s="3021"/>
      <c r="D4" s="3021"/>
      <c r="E4" s="3022"/>
      <c r="F4" s="3023"/>
      <c r="G4" s="3024"/>
      <c r="H4" s="3025"/>
      <c r="I4" s="3026"/>
      <c r="J4" s="3517" t="s">
        <v>2833</v>
      </c>
      <c r="K4" s="3518"/>
      <c r="L4" s="3038"/>
      <c r="M4" s="3038"/>
      <c r="N4" s="3038"/>
      <c r="O4" s="3038"/>
      <c r="P4" s="3038"/>
      <c r="Q4" s="3039"/>
      <c r="R4" s="3040">
        <f>SUM(L4:Q4)</f>
        <v>0</v>
      </c>
      <c r="S4" s="3018"/>
      <c r="T4" s="3018"/>
      <c r="U4" s="3018"/>
      <c r="V4" s="3026"/>
    </row>
    <row r="5" spans="1:22" s="3030" customFormat="1" ht="13.15" customHeight="1" thickBot="1">
      <c r="A5" s="3041" t="s">
        <v>2834</v>
      </c>
      <c r="B5" s="3042"/>
      <c r="C5" s="3021"/>
      <c r="D5" s="3043"/>
      <c r="E5" s="3023"/>
      <c r="F5" s="3023"/>
      <c r="G5" s="3024"/>
      <c r="H5" s="3025"/>
      <c r="I5" s="3026"/>
      <c r="J5" s="3044" t="s">
        <v>2835</v>
      </c>
      <c r="K5" s="3045"/>
      <c r="L5" s="3045"/>
      <c r="M5" s="3046"/>
      <c r="N5" s="3046"/>
      <c r="O5" s="3046"/>
      <c r="P5" s="3046"/>
      <c r="Q5" s="3046"/>
      <c r="R5" s="3029">
        <f>SUM(R14,R19,R24,R25,R27,R28)</f>
        <v>0</v>
      </c>
      <c r="S5" s="3018"/>
      <c r="T5" s="3018" t="s">
        <v>2836</v>
      </c>
      <c r="U5" s="3018" t="e">
        <f>ROUND(R5*10000/365/R3,1)</f>
        <v>#DIV/0!</v>
      </c>
      <c r="V5" s="3026"/>
    </row>
    <row r="6" spans="1:22" s="3030" customFormat="1" ht="13.15" customHeight="1" thickBot="1">
      <c r="A6" s="3523" t="s">
        <v>2837</v>
      </c>
      <c r="B6" s="3524"/>
      <c r="C6" s="3525"/>
      <c r="D6" s="3047"/>
      <c r="E6" s="3048"/>
      <c r="F6" s="3049"/>
      <c r="G6" s="3050"/>
      <c r="H6" s="3025"/>
      <c r="I6" s="3026"/>
      <c r="J6" s="3509">
        <v>1</v>
      </c>
      <c r="K6" s="3510" t="s">
        <v>2838</v>
      </c>
      <c r="L6" s="3051" t="s">
        <v>2839</v>
      </c>
      <c r="M6" s="3052" t="s">
        <v>2840</v>
      </c>
      <c r="N6" s="3052" t="s">
        <v>2841</v>
      </c>
      <c r="O6" s="3052" t="s">
        <v>2842</v>
      </c>
      <c r="P6" s="3052" t="s">
        <v>2843</v>
      </c>
      <c r="Q6" s="3052" t="s">
        <v>2844</v>
      </c>
      <c r="R6" s="3035" t="s">
        <v>2845</v>
      </c>
      <c r="S6" s="3018"/>
      <c r="T6" s="3018" t="s">
        <v>2846</v>
      </c>
      <c r="U6" s="3018"/>
      <c r="V6" s="3026"/>
    </row>
    <row r="7" spans="1:22" s="3030" customFormat="1" ht="13.15" customHeight="1">
      <c r="A7" s="3053" t="s">
        <v>2847</v>
      </c>
      <c r="B7" s="3054"/>
      <c r="C7" s="3055"/>
      <c r="D7" s="3056">
        <f>SUM(D9,D10,D11,D17,0)</f>
        <v>0</v>
      </c>
      <c r="E7" s="3057" t="e">
        <f>E9+E10+E11+E17</f>
        <v>#DIV/0!</v>
      </c>
      <c r="F7" s="3058"/>
      <c r="G7" s="3059"/>
      <c r="H7" s="3025"/>
      <c r="I7" s="3026"/>
      <c r="J7" s="3509"/>
      <c r="K7" s="3511"/>
      <c r="L7" s="3060" t="s">
        <v>2848</v>
      </c>
      <c r="M7" s="3061"/>
      <c r="N7" s="3037"/>
      <c r="O7" s="3062"/>
      <c r="P7" s="3062"/>
      <c r="Q7" s="3063">
        <v>365</v>
      </c>
      <c r="R7" s="3064">
        <f>ROUND(M7*N7*O7*P7*Q7/10000,0)</f>
        <v>0</v>
      </c>
      <c r="S7" s="3018"/>
      <c r="T7" s="3018" t="s">
        <v>2849</v>
      </c>
      <c r="U7" s="3018"/>
      <c r="V7" s="3026"/>
    </row>
    <row r="8" spans="1:22" s="3030" customFormat="1" ht="13.15" customHeight="1">
      <c r="A8" s="3065" t="s">
        <v>2850</v>
      </c>
      <c r="B8" s="3526" t="s">
        <v>2851</v>
      </c>
      <c r="C8" s="3527"/>
      <c r="D8" s="3066" t="s">
        <v>2852</v>
      </c>
      <c r="E8" s="3067" t="s">
        <v>2853</v>
      </c>
      <c r="F8" s="3068" t="s">
        <v>2854</v>
      </c>
      <c r="G8" s="3069"/>
      <c r="H8" s="3025"/>
      <c r="I8" s="3026"/>
      <c r="J8" s="3509"/>
      <c r="K8" s="3511"/>
      <c r="L8" s="3060" t="s">
        <v>2855</v>
      </c>
      <c r="M8" s="3061"/>
      <c r="N8" s="3037"/>
      <c r="O8" s="3062"/>
      <c r="P8" s="3062"/>
      <c r="Q8" s="3063">
        <v>365</v>
      </c>
      <c r="R8" s="3064">
        <f t="shared" ref="R8:R13" si="0">ROUND(M8*N8*O8*P8*Q8/10000,0)</f>
        <v>0</v>
      </c>
      <c r="S8" s="3018"/>
      <c r="T8" s="3018" t="s">
        <v>2856</v>
      </c>
      <c r="U8" s="3018"/>
      <c r="V8" s="3026"/>
    </row>
    <row r="9" spans="1:22" s="3030" customFormat="1" ht="13.15" customHeight="1">
      <c r="A9" s="3065">
        <v>1</v>
      </c>
      <c r="B9" s="3526" t="s">
        <v>2857</v>
      </c>
      <c r="C9" s="3527"/>
      <c r="D9" s="3066">
        <f>ROUND(D6*E9,0)</f>
        <v>0</v>
      </c>
      <c r="E9" s="3070"/>
      <c r="F9" s="3071" t="s">
        <v>2858</v>
      </c>
      <c r="G9" s="3050"/>
      <c r="H9" s="3025"/>
      <c r="I9" s="3026"/>
      <c r="J9" s="3509"/>
      <c r="K9" s="3511"/>
      <c r="L9" s="3060" t="s">
        <v>2859</v>
      </c>
      <c r="M9" s="3061"/>
      <c r="N9" s="3037"/>
      <c r="O9" s="3062"/>
      <c r="P9" s="3062"/>
      <c r="Q9" s="3063">
        <v>365</v>
      </c>
      <c r="R9" s="3064">
        <f t="shared" si="0"/>
        <v>0</v>
      </c>
      <c r="S9" s="3018"/>
      <c r="T9" s="3018"/>
      <c r="U9" s="3018"/>
      <c r="V9" s="3026"/>
    </row>
    <row r="10" spans="1:22" s="3030" customFormat="1" ht="13.15" customHeight="1">
      <c r="A10" s="3065">
        <v>2</v>
      </c>
      <c r="B10" s="3526" t="s">
        <v>2860</v>
      </c>
      <c r="C10" s="3527"/>
      <c r="D10" s="3066">
        <f>ROUND(D6*E10,0)</f>
        <v>0</v>
      </c>
      <c r="E10" s="3070"/>
      <c r="F10" s="3071" t="s">
        <v>2861</v>
      </c>
      <c r="G10" s="3050"/>
      <c r="H10" s="3025"/>
      <c r="I10" s="3026"/>
      <c r="J10" s="3509"/>
      <c r="K10" s="3511"/>
      <c r="L10" s="3060" t="s">
        <v>2862</v>
      </c>
      <c r="M10" s="3061"/>
      <c r="N10" s="3037"/>
      <c r="O10" s="3062"/>
      <c r="P10" s="3062"/>
      <c r="Q10" s="3063">
        <v>365</v>
      </c>
      <c r="R10" s="3064">
        <f t="shared" si="0"/>
        <v>0</v>
      </c>
      <c r="S10" s="3018"/>
      <c r="T10" s="3018"/>
      <c r="U10" s="3018"/>
      <c r="V10" s="3026"/>
    </row>
    <row r="11" spans="1:22" s="3030" customFormat="1" ht="13.15" customHeight="1">
      <c r="A11" s="3065">
        <v>3</v>
      </c>
      <c r="B11" s="3526" t="s">
        <v>2863</v>
      </c>
      <c r="C11" s="3527"/>
      <c r="D11" s="3066">
        <f>D12+D14+D15+D16</f>
        <v>0</v>
      </c>
      <c r="E11" s="3072" t="e">
        <f>D11/D6</f>
        <v>#DIV/0!</v>
      </c>
      <c r="F11" s="3068"/>
      <c r="G11" s="3069"/>
      <c r="H11" s="3025"/>
      <c r="I11" s="3026"/>
      <c r="J11" s="3509"/>
      <c r="K11" s="3511"/>
      <c r="L11" s="3060" t="s">
        <v>2864</v>
      </c>
      <c r="M11" s="3061"/>
      <c r="N11" s="3037"/>
      <c r="O11" s="3062"/>
      <c r="P11" s="3062"/>
      <c r="Q11" s="3063">
        <v>365</v>
      </c>
      <c r="R11" s="3064">
        <f t="shared" si="0"/>
        <v>0</v>
      </c>
      <c r="S11" s="3018"/>
      <c r="T11" s="3018"/>
      <c r="U11" s="3018"/>
      <c r="V11" s="3026"/>
    </row>
    <row r="12" spans="1:22" s="3030" customFormat="1" ht="13.15" customHeight="1">
      <c r="A12" s="3073" t="s">
        <v>2865</v>
      </c>
      <c r="B12" s="3519" t="s">
        <v>2866</v>
      </c>
      <c r="C12" s="3520"/>
      <c r="D12" s="3074">
        <f>ROUND(D13*1.2%*(1-30%),0)</f>
        <v>0</v>
      </c>
      <c r="E12" s="3075">
        <v>1.2E-2</v>
      </c>
      <c r="F12" s="3068" t="s">
        <v>2867</v>
      </c>
      <c r="G12" s="3069"/>
      <c r="H12" s="3025"/>
      <c r="I12" s="3026"/>
      <c r="J12" s="3509"/>
      <c r="K12" s="3511"/>
      <c r="L12" s="3060" t="s">
        <v>2868</v>
      </c>
      <c r="M12" s="3061"/>
      <c r="N12" s="3037"/>
      <c r="O12" s="3062"/>
      <c r="P12" s="3062"/>
      <c r="Q12" s="3063">
        <v>365</v>
      </c>
      <c r="R12" s="3064">
        <f t="shared" si="0"/>
        <v>0</v>
      </c>
      <c r="S12" s="3018"/>
      <c r="T12" s="3018"/>
      <c r="U12" s="3018"/>
      <c r="V12" s="3026"/>
    </row>
    <row r="13" spans="1:22" s="3030" customFormat="1" ht="13.15" customHeight="1">
      <c r="A13" s="3073"/>
      <c r="B13" s="3076"/>
      <c r="C13" s="3077" t="s">
        <v>2869</v>
      </c>
      <c r="D13" s="3078"/>
      <c r="E13" s="3079"/>
      <c r="F13" s="3068"/>
      <c r="G13" s="3069"/>
      <c r="H13" s="3025"/>
      <c r="I13" s="3026"/>
      <c r="J13" s="3509"/>
      <c r="K13" s="3511"/>
      <c r="L13" s="3060" t="s">
        <v>2870</v>
      </c>
      <c r="M13" s="3061"/>
      <c r="N13" s="3037"/>
      <c r="O13" s="3062"/>
      <c r="P13" s="3062"/>
      <c r="Q13" s="3063">
        <v>365</v>
      </c>
      <c r="R13" s="3064">
        <f t="shared" si="0"/>
        <v>0</v>
      </c>
      <c r="S13" s="3018"/>
      <c r="T13" s="3018"/>
      <c r="U13" s="3018"/>
      <c r="V13" s="3026"/>
    </row>
    <row r="14" spans="1:22" s="3030" customFormat="1" ht="13.15" customHeight="1">
      <c r="A14" s="3073" t="s">
        <v>2871</v>
      </c>
      <c r="B14" s="3519" t="s">
        <v>2872</v>
      </c>
      <c r="C14" s="3520"/>
      <c r="D14" s="3074">
        <f>ROUND(E14*B5/10000,0)</f>
        <v>0</v>
      </c>
      <c r="E14" s="3063"/>
      <c r="F14" s="3068" t="s">
        <v>2873</v>
      </c>
      <c r="G14" s="3069"/>
      <c r="H14" s="3025"/>
      <c r="I14" s="3026"/>
      <c r="J14" s="3509"/>
      <c r="K14" s="3512"/>
      <c r="L14" s="3080" t="s">
        <v>2874</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2875</v>
      </c>
      <c r="B15" s="3519" t="s">
        <v>2876</v>
      </c>
      <c r="C15" s="3520"/>
      <c r="D15" s="3074">
        <f>ROUND(D6*E15,0)</f>
        <v>0</v>
      </c>
      <c r="E15" s="3075">
        <v>5.5E-2</v>
      </c>
      <c r="F15" s="3068" t="s">
        <v>2877</v>
      </c>
      <c r="G15" s="3050"/>
      <c r="H15" s="3025"/>
      <c r="I15" s="3026"/>
      <c r="J15" s="3509">
        <v>2</v>
      </c>
      <c r="K15" s="3510" t="s">
        <v>2878</v>
      </c>
      <c r="L15" s="3060" t="s">
        <v>2879</v>
      </c>
      <c r="M15" s="3061" t="s">
        <v>2880</v>
      </c>
      <c r="N15" s="3061" t="s">
        <v>2881</v>
      </c>
      <c r="O15" s="3062" t="s">
        <v>2882</v>
      </c>
      <c r="P15" s="3062" t="s">
        <v>2844</v>
      </c>
      <c r="Q15" s="3037" t="s">
        <v>2883</v>
      </c>
      <c r="R15" s="3084" t="s">
        <v>2845</v>
      </c>
      <c r="S15" s="3018"/>
      <c r="T15" s="3018"/>
      <c r="U15" s="3018"/>
      <c r="V15" s="3026"/>
    </row>
    <row r="16" spans="1:22" s="3030" customFormat="1" ht="13.15" customHeight="1">
      <c r="A16" s="3073" t="s">
        <v>2884</v>
      </c>
      <c r="B16" s="3519" t="s">
        <v>2885</v>
      </c>
      <c r="C16" s="3520"/>
      <c r="D16" s="3085">
        <f>D6*E16</f>
        <v>0</v>
      </c>
      <c r="E16" s="3086"/>
      <c r="F16" s="3071" t="s">
        <v>2886</v>
      </c>
      <c r="G16" s="3050"/>
      <c r="H16" s="3025"/>
      <c r="I16" s="3026"/>
      <c r="J16" s="3509"/>
      <c r="K16" s="3511"/>
      <c r="L16" s="3060" t="s">
        <v>2887</v>
      </c>
      <c r="M16" s="3061"/>
      <c r="N16" s="3061"/>
      <c r="O16" s="3062"/>
      <c r="P16" s="3063">
        <v>365</v>
      </c>
      <c r="Q16" s="3037"/>
      <c r="R16" s="3084">
        <f>ROUND(M16*N16*O16*P16/10000,0)</f>
        <v>0</v>
      </c>
      <c r="S16" s="3018"/>
      <c r="T16" s="3018"/>
      <c r="U16" s="3018"/>
      <c r="V16" s="3026"/>
    </row>
    <row r="17" spans="1:22" s="3030" customFormat="1" ht="13.15" customHeight="1" thickBot="1">
      <c r="A17" s="3087">
        <v>4</v>
      </c>
      <c r="B17" s="3521" t="s">
        <v>2888</v>
      </c>
      <c r="C17" s="3522"/>
      <c r="D17" s="3088">
        <f>ROUND(D6*E17,0)</f>
        <v>0</v>
      </c>
      <c r="E17" s="3089"/>
      <c r="F17" s="3090" t="s">
        <v>2889</v>
      </c>
      <c r="G17" s="3050"/>
      <c r="H17" s="3025"/>
      <c r="I17" s="3026"/>
      <c r="J17" s="3509"/>
      <c r="K17" s="3511"/>
      <c r="L17" s="3060" t="s">
        <v>2890</v>
      </c>
      <c r="M17" s="3061"/>
      <c r="N17" s="3061"/>
      <c r="O17" s="3062"/>
      <c r="P17" s="3063">
        <v>365</v>
      </c>
      <c r="Q17" s="3037"/>
      <c r="R17" s="3084">
        <f>ROUND(M17*N17*O17*P17/10000,0)</f>
        <v>0</v>
      </c>
      <c r="S17" s="3018"/>
      <c r="T17" s="3018"/>
      <c r="U17" s="3018"/>
      <c r="V17" s="3026"/>
    </row>
    <row r="18" spans="1:22" s="3030" customFormat="1" ht="13.15" customHeight="1" thickBot="1">
      <c r="A18" s="3053" t="s">
        <v>2891</v>
      </c>
      <c r="B18" s="3054"/>
      <c r="C18" s="3054"/>
      <c r="D18" s="3091">
        <f>ROUND(D6*E18,0)</f>
        <v>0</v>
      </c>
      <c r="E18" s="3092"/>
      <c r="F18" s="3093" t="s">
        <v>2892</v>
      </c>
      <c r="G18" s="3050"/>
      <c r="H18" s="3025"/>
      <c r="I18" s="3026"/>
      <c r="J18" s="3509"/>
      <c r="K18" s="3511"/>
      <c r="L18" s="3060" t="s">
        <v>2893</v>
      </c>
      <c r="M18" s="3061"/>
      <c r="N18" s="3061"/>
      <c r="O18" s="3062"/>
      <c r="P18" s="3063">
        <v>365</v>
      </c>
      <c r="Q18" s="3037"/>
      <c r="R18" s="3084">
        <f>ROUND(M18*N18*O18*P18/10000,0)</f>
        <v>0</v>
      </c>
      <c r="S18" s="3018"/>
      <c r="T18" s="3018"/>
      <c r="U18" s="3018"/>
      <c r="V18" s="3026"/>
    </row>
    <row r="19" spans="1:22" s="3030" customFormat="1" ht="13.15" customHeight="1" thickBot="1">
      <c r="A19" s="3094" t="s">
        <v>2894</v>
      </c>
      <c r="B19" s="3048"/>
      <c r="C19" s="3048"/>
      <c r="D19" s="3048"/>
      <c r="E19" s="3048"/>
      <c r="F19" s="3049"/>
      <c r="G19" s="3069"/>
      <c r="H19" s="3025"/>
      <c r="I19" s="3026"/>
      <c r="J19" s="3509"/>
      <c r="K19" s="3512"/>
      <c r="L19" s="3080" t="s">
        <v>2874</v>
      </c>
      <c r="M19" s="3081"/>
      <c r="N19" s="3081">
        <f>SUM(N16:N18)</f>
        <v>0</v>
      </c>
      <c r="O19" s="3082"/>
      <c r="P19" s="3095" t="s">
        <v>2938</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509">
        <v>3</v>
      </c>
      <c r="K20" s="3510" t="s">
        <v>2895</v>
      </c>
      <c r="L20" s="3060" t="s">
        <v>2896</v>
      </c>
      <c r="M20" s="3061" t="s">
        <v>2897</v>
      </c>
      <c r="N20" s="3098" t="s">
        <v>2898</v>
      </c>
      <c r="O20" s="3062" t="s">
        <v>2899</v>
      </c>
      <c r="P20" s="3063" t="s">
        <v>2900</v>
      </c>
      <c r="Q20" s="3037" t="s">
        <v>2901</v>
      </c>
      <c r="R20" s="3084" t="s">
        <v>2902</v>
      </c>
      <c r="S20" s="3099"/>
      <c r="T20" s="3099"/>
      <c r="U20" s="3099"/>
      <c r="V20" s="3026"/>
    </row>
    <row r="21" spans="1:22" s="3030" customFormat="1" ht="13.15" customHeight="1">
      <c r="A21" s="3053"/>
      <c r="B21" s="3054"/>
      <c r="C21" s="3100" t="s">
        <v>2903</v>
      </c>
      <c r="D21" s="3101" t="s">
        <v>2904</v>
      </c>
      <c r="E21" s="3102" t="s">
        <v>2905</v>
      </c>
      <c r="F21" s="3097"/>
      <c r="G21" s="3069"/>
      <c r="H21" s="3025"/>
      <c r="I21" s="3026"/>
      <c r="J21" s="3509"/>
      <c r="K21" s="3511"/>
      <c r="L21" s="3060" t="s">
        <v>2906</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2907</v>
      </c>
      <c r="D22" s="3105" t="s">
        <v>2908</v>
      </c>
      <c r="E22" s="3106" t="s">
        <v>2909</v>
      </c>
      <c r="F22" s="3097"/>
      <c r="G22" s="3107"/>
      <c r="H22" s="3025"/>
      <c r="I22" s="3026"/>
      <c r="J22" s="3509"/>
      <c r="K22" s="3511"/>
      <c r="L22" s="3060" t="s">
        <v>2910</v>
      </c>
      <c r="M22" s="3061"/>
      <c r="N22" s="3061"/>
      <c r="O22" s="3062"/>
      <c r="P22" s="3063">
        <v>365</v>
      </c>
      <c r="Q22" s="3037"/>
      <c r="R22" s="3103">
        <f>ROUND(M22*N22*O22*P22/10000,0)</f>
        <v>0</v>
      </c>
      <c r="S22" s="3099"/>
      <c r="T22" s="3099"/>
      <c r="U22" s="3099"/>
      <c r="V22" s="3026"/>
    </row>
    <row r="23" spans="1:22" s="3030" customFormat="1" ht="13.15" customHeight="1">
      <c r="A23" s="3108">
        <v>1</v>
      </c>
      <c r="B23" s="3109" t="s">
        <v>2911</v>
      </c>
      <c r="C23" s="3110">
        <f>D6</f>
        <v>0</v>
      </c>
      <c r="D23" s="3111">
        <f>C23*(1+D24)</f>
        <v>0</v>
      </c>
      <c r="E23" s="3112">
        <f>D23*(1+E24)</f>
        <v>0</v>
      </c>
      <c r="F23" s="3113"/>
      <c r="G23" s="3114"/>
      <c r="H23" s="3025"/>
      <c r="I23" s="3026"/>
      <c r="J23" s="3509"/>
      <c r="K23" s="3511"/>
      <c r="L23" s="3060" t="s">
        <v>2912</v>
      </c>
      <c r="M23" s="3061"/>
      <c r="N23" s="3061"/>
      <c r="O23" s="3062"/>
      <c r="P23" s="3063">
        <v>365</v>
      </c>
      <c r="Q23" s="3037"/>
      <c r="R23" s="3103">
        <f>ROUND(M23*N23*O23*P23/10000,0)</f>
        <v>0</v>
      </c>
      <c r="S23" s="3018"/>
      <c r="T23" s="3018"/>
      <c r="U23" s="3018"/>
      <c r="V23" s="3026"/>
    </row>
    <row r="24" spans="1:22" s="3030" customFormat="1" ht="13.15" customHeight="1">
      <c r="A24" s="3115"/>
      <c r="B24" s="3116" t="s">
        <v>2913</v>
      </c>
      <c r="C24" s="3117"/>
      <c r="D24" s="3118"/>
      <c r="E24" s="3119"/>
      <c r="F24" s="3120"/>
      <c r="G24" s="3114"/>
      <c r="H24" s="3025"/>
      <c r="I24" s="3026"/>
      <c r="J24" s="3509"/>
      <c r="K24" s="3512"/>
      <c r="L24" s="3080" t="s">
        <v>2874</v>
      </c>
      <c r="M24" s="3081">
        <f>SUM(M21:M23)</f>
        <v>0</v>
      </c>
      <c r="N24" s="3081"/>
      <c r="O24" s="3082"/>
      <c r="P24" s="3095" t="s">
        <v>2938</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2914</v>
      </c>
      <c r="L25" s="3123"/>
      <c r="M25" s="3123"/>
      <c r="N25" s="3123"/>
      <c r="O25" s="3123"/>
      <c r="P25" s="3124"/>
      <c r="Q25" s="3125">
        <v>0</v>
      </c>
      <c r="R25" s="3096">
        <f>ROUND(R14*Q25,0)</f>
        <v>0</v>
      </c>
      <c r="S25" s="3018"/>
      <c r="T25" s="3018"/>
      <c r="U25" s="3018"/>
      <c r="V25" s="3126"/>
    </row>
    <row r="26" spans="1:22" s="3127" customFormat="1" ht="13.15" customHeight="1">
      <c r="A26" s="3108">
        <v>2</v>
      </c>
      <c r="B26" s="3109" t="s">
        <v>2915</v>
      </c>
      <c r="C26" s="3110">
        <f>D7</f>
        <v>0</v>
      </c>
      <c r="D26" s="3111">
        <f>D23*D27</f>
        <v>0</v>
      </c>
      <c r="E26" s="3112">
        <f>E23*E27</f>
        <v>0</v>
      </c>
      <c r="F26" s="3113"/>
      <c r="G26" s="3114"/>
      <c r="H26" s="3025"/>
      <c r="I26" s="3026"/>
      <c r="J26" s="3513">
        <v>5</v>
      </c>
      <c r="K26" s="3128" t="s">
        <v>2916</v>
      </c>
      <c r="L26" s="3129"/>
      <c r="M26" s="3130"/>
      <c r="N26" s="3131" t="s">
        <v>2917</v>
      </c>
      <c r="O26" s="3131" t="s">
        <v>2918</v>
      </c>
      <c r="P26" s="3132" t="s">
        <v>2919</v>
      </c>
      <c r="Q26" s="3132" t="s">
        <v>2920</v>
      </c>
      <c r="R26" s="3035" t="s">
        <v>2845</v>
      </c>
      <c r="S26" s="3133"/>
      <c r="T26" s="3133"/>
      <c r="U26" s="3133"/>
      <c r="V26" s="3126"/>
    </row>
    <row r="27" spans="1:22" s="3030" customFormat="1" ht="13.15" customHeight="1">
      <c r="A27" s="3115"/>
      <c r="B27" s="3116" t="s">
        <v>2921</v>
      </c>
      <c r="C27" s="3134" t="e">
        <f>E7</f>
        <v>#DIV/0!</v>
      </c>
      <c r="D27" s="3118"/>
      <c r="E27" s="3119"/>
      <c r="F27" s="3120"/>
      <c r="G27" s="3114"/>
      <c r="H27" s="3135"/>
      <c r="I27" s="3126"/>
      <c r="J27" s="3514"/>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2922</v>
      </c>
      <c r="F28" s="3120"/>
      <c r="G28" s="3107"/>
      <c r="H28" s="3135"/>
      <c r="I28" s="3126"/>
      <c r="J28" s="3141">
        <v>6</v>
      </c>
      <c r="K28" s="3142" t="s">
        <v>2923</v>
      </c>
      <c r="L28" s="3143" t="s">
        <v>2924</v>
      </c>
      <c r="M28" s="3144"/>
      <c r="N28" s="3143" t="s">
        <v>2925</v>
      </c>
      <c r="O28" s="3145"/>
      <c r="P28" s="3143" t="s">
        <v>2926</v>
      </c>
      <c r="Q28" s="3146">
        <v>1.4999999999999999E-2</v>
      </c>
      <c r="R28" s="3147"/>
      <c r="S28" s="3099"/>
      <c r="T28" s="3099"/>
      <c r="U28" s="3099"/>
      <c r="V28" s="3126"/>
    </row>
    <row r="29" spans="1:22" s="3127" customFormat="1" ht="13.15" customHeight="1">
      <c r="A29" s="3108">
        <v>3</v>
      </c>
      <c r="B29" s="3109" t="s">
        <v>2927</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2921</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2928</v>
      </c>
      <c r="K31" s="3016"/>
      <c r="L31" s="3016"/>
      <c r="M31" s="3016"/>
      <c r="N31" s="3016"/>
      <c r="O31" s="3016"/>
      <c r="P31" s="3016"/>
      <c r="Q31" s="3016"/>
      <c r="R31" s="3017"/>
      <c r="S31" s="3099"/>
      <c r="T31" s="3018"/>
      <c r="U31" s="3018"/>
      <c r="V31" s="3126"/>
    </row>
    <row r="32" spans="1:22" s="3127" customFormat="1" ht="13.15" customHeight="1">
      <c r="A32" s="3108">
        <v>4</v>
      </c>
      <c r="B32" s="3109" t="s">
        <v>2929</v>
      </c>
      <c r="C32" s="3110">
        <f>C23-C26-C29</f>
        <v>0</v>
      </c>
      <c r="D32" s="3111">
        <f>D23-D26-D29</f>
        <v>0</v>
      </c>
      <c r="E32" s="3112">
        <f>E23-E26-E29</f>
        <v>0</v>
      </c>
      <c r="F32" s="3113"/>
      <c r="G32" s="3107"/>
      <c r="H32" s="3025"/>
      <c r="I32" s="3026"/>
      <c r="J32" s="3515" t="s">
        <v>2821</v>
      </c>
      <c r="K32" s="3516"/>
      <c r="L32" s="3027" t="s">
        <v>2822</v>
      </c>
      <c r="M32" s="3027" t="s">
        <v>2823</v>
      </c>
      <c r="N32" s="3027" t="s">
        <v>2824</v>
      </c>
      <c r="O32" s="3027" t="s">
        <v>2825</v>
      </c>
      <c r="P32" s="3027" t="s">
        <v>2826</v>
      </c>
      <c r="Q32" s="3028" t="s">
        <v>2827</v>
      </c>
      <c r="R32" s="3150" t="s">
        <v>2828</v>
      </c>
      <c r="S32" s="3099"/>
      <c r="T32" s="3018"/>
      <c r="U32" s="3018"/>
      <c r="V32" s="3126"/>
    </row>
    <row r="33" spans="1:23" s="3030" customFormat="1" ht="13.15" customHeight="1">
      <c r="A33" s="3108"/>
      <c r="B33" s="3109"/>
      <c r="C33" s="3110"/>
      <c r="D33" s="3151"/>
      <c r="E33" s="3152"/>
      <c r="F33" s="3113"/>
      <c r="G33" s="3107"/>
      <c r="H33" s="3135"/>
      <c r="I33" s="3126"/>
      <c r="J33" s="3517" t="s">
        <v>2831</v>
      </c>
      <c r="K33" s="3518"/>
      <c r="L33" s="3033"/>
      <c r="M33" s="3033"/>
      <c r="N33" s="3033"/>
      <c r="O33" s="3033"/>
      <c r="P33" s="3033"/>
      <c r="Q33" s="3034"/>
      <c r="R33" s="3153">
        <f>SUM(L33:Q33)</f>
        <v>0</v>
      </c>
      <c r="S33" s="3099"/>
      <c r="T33" s="3018"/>
      <c r="U33" s="3018"/>
      <c r="V33" s="3026"/>
    </row>
    <row r="34" spans="1:23" s="3030" customFormat="1" ht="13.15" customHeight="1">
      <c r="A34" s="3108">
        <v>5</v>
      </c>
      <c r="B34" s="3109" t="s">
        <v>2930</v>
      </c>
      <c r="C34" s="3154"/>
      <c r="D34" s="3155"/>
      <c r="E34" s="3156"/>
      <c r="F34" s="3113"/>
      <c r="G34" s="3107"/>
      <c r="H34" s="3135"/>
      <c r="I34" s="3126"/>
      <c r="J34" s="3517" t="s">
        <v>2833</v>
      </c>
      <c r="K34" s="3518"/>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2931</v>
      </c>
      <c r="C35" s="3158"/>
      <c r="D35" s="3159"/>
      <c r="E35" s="3160"/>
      <c r="F35" s="3113"/>
      <c r="G35" s="3161"/>
      <c r="H35" s="3025"/>
      <c r="I35" s="3126"/>
      <c r="J35" s="3044" t="s">
        <v>2835</v>
      </c>
      <c r="K35" s="3045"/>
      <c r="L35" s="3045"/>
      <c r="M35" s="3046"/>
      <c r="N35" s="3046"/>
      <c r="O35" s="3046"/>
      <c r="P35" s="3046"/>
      <c r="Q35" s="3046"/>
      <c r="R35" s="3162">
        <f>R40+R41+R43</f>
        <v>0</v>
      </c>
      <c r="S35" s="3099"/>
      <c r="T35" s="3018" t="s">
        <v>2836</v>
      </c>
      <c r="U35" s="3018"/>
      <c r="V35" s="3026"/>
    </row>
    <row r="36" spans="1:23" s="3030" customFormat="1" ht="13.15" customHeight="1" thickBot="1">
      <c r="A36" s="3108">
        <v>7</v>
      </c>
      <c r="B36" s="3163" t="s">
        <v>2932</v>
      </c>
      <c r="C36" s="3164"/>
      <c r="D36" s="3165"/>
      <c r="E36" s="3166"/>
      <c r="F36" s="3167">
        <f>C36+D36+E36</f>
        <v>0</v>
      </c>
      <c r="G36" s="3107"/>
      <c r="H36" s="3025"/>
      <c r="I36" s="3026"/>
      <c r="J36" s="3509">
        <v>1</v>
      </c>
      <c r="K36" s="3510" t="s">
        <v>2933</v>
      </c>
      <c r="L36" s="3051"/>
      <c r="M36" s="3052"/>
      <c r="N36" s="3052"/>
      <c r="O36" s="3052"/>
      <c r="P36" s="3052"/>
      <c r="Q36" s="3052"/>
      <c r="R36" s="3035" t="s">
        <v>2845</v>
      </c>
      <c r="S36" s="3099"/>
      <c r="T36" s="3018" t="s">
        <v>2846</v>
      </c>
      <c r="U36" s="3018"/>
      <c r="V36" s="3026"/>
    </row>
    <row r="37" spans="1:23" s="3030" customFormat="1" ht="13.15" customHeight="1">
      <c r="A37" s="3108"/>
      <c r="B37" s="3109"/>
      <c r="C37" s="3109"/>
      <c r="D37" s="3109"/>
      <c r="E37" s="3109"/>
      <c r="F37" s="3113"/>
      <c r="G37" s="3107"/>
      <c r="H37" s="3025"/>
      <c r="I37" s="3026"/>
      <c r="J37" s="3509"/>
      <c r="K37" s="3511"/>
      <c r="L37" s="3060"/>
      <c r="M37" s="3061"/>
      <c r="N37" s="3037"/>
      <c r="O37" s="3062"/>
      <c r="P37" s="3062"/>
      <c r="Q37" s="3063"/>
      <c r="R37" s="3064"/>
      <c r="S37" s="3099"/>
      <c r="T37" s="3018" t="s">
        <v>2849</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509"/>
      <c r="K38" s="3511"/>
      <c r="L38" s="3060"/>
      <c r="M38" s="3061"/>
      <c r="N38" s="3037"/>
      <c r="O38" s="3062"/>
      <c r="P38" s="3062"/>
      <c r="Q38" s="3063"/>
      <c r="R38" s="3064"/>
      <c r="S38" s="3099"/>
      <c r="T38" s="3018" t="s">
        <v>2856</v>
      </c>
      <c r="U38" s="3018"/>
      <c r="V38" s="3026"/>
    </row>
    <row r="39" spans="1:23" s="3030" customFormat="1" ht="13.15" customHeight="1">
      <c r="A39" s="3108">
        <v>9</v>
      </c>
      <c r="B39" s="3109" t="s">
        <v>2934</v>
      </c>
      <c r="C39" s="3074" t="e">
        <f>C38</f>
        <v>#DIV/0!</v>
      </c>
      <c r="D39" s="3109">
        <f>D38/(1+D34)^C36</f>
        <v>0</v>
      </c>
      <c r="E39" s="3109">
        <f>E38/(1+E34)^(C36+D36)</f>
        <v>0</v>
      </c>
      <c r="F39" s="3113"/>
      <c r="G39" s="3168"/>
      <c r="H39" s="3025"/>
      <c r="I39" s="3026"/>
      <c r="J39" s="3509"/>
      <c r="K39" s="3511"/>
      <c r="L39" s="3060"/>
      <c r="M39" s="3061"/>
      <c r="N39" s="3037"/>
      <c r="O39" s="3062"/>
      <c r="P39" s="3062"/>
      <c r="Q39" s="3063"/>
      <c r="R39" s="3064"/>
      <c r="S39" s="3099"/>
      <c r="T39" s="3018"/>
      <c r="U39" s="3018"/>
      <c r="V39" s="3026"/>
    </row>
    <row r="40" spans="1:23" s="3030" customFormat="1" ht="13.15" customHeight="1">
      <c r="A40" s="3169">
        <v>10</v>
      </c>
      <c r="B40" s="3109" t="s">
        <v>2935</v>
      </c>
      <c r="C40" s="3170" t="e">
        <f>C39+D39+E39</f>
        <v>#DIV/0!</v>
      </c>
      <c r="D40" s="3171"/>
      <c r="E40" s="3171"/>
      <c r="F40" s="3172"/>
      <c r="G40" s="3107"/>
      <c r="H40" s="3025"/>
      <c r="I40" s="3026"/>
      <c r="J40" s="3509"/>
      <c r="K40" s="3512"/>
      <c r="L40" s="3080" t="s">
        <v>2874</v>
      </c>
      <c r="M40" s="3081"/>
      <c r="N40" s="3081"/>
      <c r="O40" s="3082"/>
      <c r="P40" s="3082"/>
      <c r="Q40" s="3083"/>
      <c r="R40" s="3029">
        <f>SUM(R37:R39)</f>
        <v>0</v>
      </c>
      <c r="S40" s="3099"/>
      <c r="T40" s="3018"/>
      <c r="U40" s="3018"/>
      <c r="V40" s="3026"/>
    </row>
    <row r="41" spans="1:23" s="3030" customFormat="1" ht="13.15" customHeight="1" thickBot="1">
      <c r="A41" s="3173">
        <v>11</v>
      </c>
      <c r="B41" s="3174" t="s">
        <v>2936</v>
      </c>
      <c r="C41" s="3174" t="e">
        <f>ROUND(C40*10000/B4,0)</f>
        <v>#DIV/0!</v>
      </c>
      <c r="D41" s="3175"/>
      <c r="E41" s="3175"/>
      <c r="F41" s="3176"/>
      <c r="G41" s="3177"/>
      <c r="H41" s="3025"/>
      <c r="I41" s="3026"/>
      <c r="J41" s="3121">
        <v>2</v>
      </c>
      <c r="K41" s="3122" t="s">
        <v>2914</v>
      </c>
      <c r="L41" s="3123"/>
      <c r="M41" s="3123"/>
      <c r="N41" s="3123"/>
      <c r="O41" s="3123"/>
      <c r="P41" s="3124"/>
      <c r="Q41" s="3125"/>
      <c r="R41" s="3096">
        <f>ROUND(R40*Q41,0)</f>
        <v>0</v>
      </c>
      <c r="S41" s="3099"/>
      <c r="T41" s="3018"/>
      <c r="U41" s="3133"/>
      <c r="V41" s="3026"/>
    </row>
    <row r="42" spans="1:23" s="3030" customFormat="1" ht="13.15" customHeight="1">
      <c r="G42" s="3177"/>
      <c r="H42" s="3025"/>
      <c r="I42" s="3026"/>
      <c r="J42" s="3513">
        <v>3</v>
      </c>
      <c r="K42" s="3128" t="s">
        <v>2916</v>
      </c>
      <c r="L42" s="3129"/>
      <c r="M42" s="3130"/>
      <c r="N42" s="3131" t="s">
        <v>2917</v>
      </c>
      <c r="O42" s="3131" t="s">
        <v>2918</v>
      </c>
      <c r="P42" s="3132" t="s">
        <v>2919</v>
      </c>
      <c r="Q42" s="3132" t="s">
        <v>2920</v>
      </c>
      <c r="R42" s="3035" t="s">
        <v>2845</v>
      </c>
      <c r="S42" s="3133"/>
      <c r="T42" s="3133"/>
      <c r="U42" s="3018"/>
      <c r="V42" s="3026"/>
    </row>
    <row r="43" spans="1:23" ht="13.15" customHeight="1">
      <c r="A43" s="3030"/>
      <c r="B43" s="3030"/>
      <c r="C43" s="3030"/>
      <c r="D43" s="3030"/>
      <c r="E43" s="3030"/>
      <c r="F43" s="3030"/>
      <c r="I43" s="3013"/>
      <c r="J43" s="3514"/>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2923</v>
      </c>
      <c r="L44" s="3181" t="s">
        <v>2924</v>
      </c>
      <c r="M44" s="3144"/>
      <c r="N44" s="3181" t="s">
        <v>2925</v>
      </c>
      <c r="O44" s="3144"/>
      <c r="P44" s="3181" t="s">
        <v>2926</v>
      </c>
      <c r="Q44" s="3146">
        <v>1.4999999999999999E-2</v>
      </c>
      <c r="R44" s="31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0" t="s">
        <v>2106</v>
      </c>
      <c r="B1" s="2001"/>
      <c r="C1" s="2001"/>
      <c r="D1" s="2001"/>
      <c r="E1" s="2002"/>
      <c r="F1" s="2882"/>
      <c r="G1" s="1622"/>
      <c r="H1" s="1622"/>
      <c r="I1" s="1622"/>
      <c r="J1" s="1622"/>
      <c r="K1" s="1622"/>
      <c r="L1" s="1622"/>
      <c r="M1" s="1622"/>
      <c r="N1" s="1622"/>
      <c r="O1" s="1622"/>
      <c r="P1" s="1622"/>
      <c r="Q1" s="1622"/>
      <c r="R1" s="1622"/>
      <c r="S1" s="1622"/>
    </row>
    <row r="2" spans="1:22" ht="15.75">
      <c r="A2" s="2003" t="s">
        <v>1907</v>
      </c>
      <c r="B2" s="2004">
        <f ca="1">SUMIF(B6:B13,"&lt;&gt;#ref!",B6:B13)</f>
        <v>7806</v>
      </c>
      <c r="C2" s="2005" t="s">
        <v>2099</v>
      </c>
      <c r="D2" s="2006" t="s">
        <v>2100</v>
      </c>
      <c r="E2" s="2779">
        <f>SUM(E6:E13)</f>
        <v>3836.1200000000003</v>
      </c>
      <c r="F2" s="2882"/>
      <c r="G2" s="1622"/>
      <c r="H2" s="1622"/>
      <c r="I2" s="1622"/>
      <c r="J2" s="1622"/>
      <c r="K2" s="1622"/>
      <c r="L2" s="1622"/>
      <c r="M2" s="1622"/>
      <c r="N2" s="1622"/>
      <c r="O2" s="1622"/>
      <c r="P2" s="1622"/>
      <c r="Q2" s="1622"/>
      <c r="R2" s="1622"/>
      <c r="S2" s="1622"/>
    </row>
    <row r="3" spans="1:22" ht="15.75">
      <c r="A3" s="2003" t="s">
        <v>1119</v>
      </c>
      <c r="B3" s="2773">
        <f ca="1">ROUND(B2*10000/E2,0)</f>
        <v>20349</v>
      </c>
      <c r="C3" s="2005" t="s">
        <v>2107</v>
      </c>
      <c r="D3" s="2884"/>
      <c r="E3" s="2886"/>
      <c r="F3" s="2882"/>
      <c r="G3" s="1622"/>
      <c r="H3" s="1622"/>
      <c r="I3" s="1622"/>
      <c r="J3" s="1622"/>
      <c r="K3" s="1622"/>
      <c r="L3" s="1622"/>
      <c r="M3" s="1622"/>
      <c r="N3" s="1622"/>
      <c r="O3" s="1622"/>
      <c r="P3" s="1622"/>
      <c r="Q3" s="1622"/>
      <c r="R3" s="1622"/>
      <c r="S3" s="1622"/>
    </row>
    <row r="4" spans="1:22" ht="15.75">
      <c r="A4" s="2887"/>
      <c r="B4" s="2884"/>
      <c r="C4" s="2884"/>
      <c r="D4" s="2884"/>
      <c r="E4" s="2886"/>
      <c r="F4" s="2882"/>
      <c r="G4" s="1622"/>
      <c r="H4" s="1622"/>
      <c r="I4" s="1622"/>
      <c r="J4" s="1622"/>
      <c r="K4" s="1622"/>
      <c r="L4" s="1622"/>
      <c r="M4" s="1622"/>
      <c r="N4" s="1622"/>
      <c r="O4" s="1622"/>
      <c r="P4" s="1622"/>
      <c r="Q4" s="1622"/>
      <c r="R4" s="1622"/>
      <c r="S4" s="1622"/>
    </row>
    <row r="5" spans="1:22" ht="15">
      <c r="A5" s="2775" t="s">
        <v>2101</v>
      </c>
      <c r="B5" s="3528" t="s">
        <v>2102</v>
      </c>
      <c r="C5" s="3529"/>
      <c r="D5" s="2883"/>
      <c r="E5" s="2007" t="s">
        <v>2103</v>
      </c>
      <c r="F5" s="2008" t="s">
        <v>2104</v>
      </c>
      <c r="G5" s="1622"/>
      <c r="H5" s="1622"/>
      <c r="I5" s="1622"/>
      <c r="J5" s="1622"/>
      <c r="K5" s="1622"/>
      <c r="L5" s="1622"/>
      <c r="M5" s="1622"/>
      <c r="N5" s="1622"/>
      <c r="O5" s="1622"/>
      <c r="P5" s="1622"/>
      <c r="Q5" s="1622"/>
      <c r="R5" s="1622"/>
      <c r="S5" s="1622"/>
    </row>
    <row r="6" spans="1:22">
      <c r="A6" s="2776" t="str">
        <f>'数据-取费表'!AN6</f>
        <v>收益法</v>
      </c>
      <c r="B6" s="2774">
        <f ca="1">IF(F6="是",'数据-取费表'!AO6,0)</f>
        <v>7806</v>
      </c>
      <c r="C6" s="2005" t="s">
        <v>2099</v>
      </c>
      <c r="D6" s="2884"/>
      <c r="E6" s="2778">
        <f>IF(OR(A6=0,F6="否"),0,'数据-取费表'!K6+'数据-取费表'!S6)</f>
        <v>3836.1200000000003</v>
      </c>
      <c r="F6" s="2009" t="s">
        <v>2105</v>
      </c>
      <c r="G6" s="1622"/>
      <c r="H6" s="1622"/>
      <c r="I6" s="1622"/>
      <c r="J6" s="1622"/>
      <c r="K6" s="1622"/>
      <c r="L6" s="1622"/>
      <c r="M6" s="1622"/>
      <c r="N6" s="1622"/>
      <c r="O6" s="1622"/>
      <c r="P6" s="1622"/>
      <c r="Q6" s="1622"/>
      <c r="R6" s="1622"/>
      <c r="S6" s="1622"/>
    </row>
    <row r="7" spans="1:22">
      <c r="A7" s="2776">
        <f>'数据-取费表'!AN7</f>
        <v>0</v>
      </c>
      <c r="B7" s="2774" t="e">
        <f ca="1">IF(F7="是",'数据-取费表'!AO7,0)</f>
        <v>#REF!</v>
      </c>
      <c r="C7" s="2005" t="s">
        <v>2099</v>
      </c>
      <c r="D7" s="2884"/>
      <c r="E7" s="2778">
        <f>IF(OR(A7=0,F7="否"),0,'数据-取费表'!K7+'数据-取费表'!S7)</f>
        <v>0</v>
      </c>
      <c r="F7" s="2009" t="s">
        <v>2105</v>
      </c>
      <c r="G7" s="1622"/>
      <c r="H7" s="1622"/>
      <c r="I7" s="1622"/>
      <c r="J7" s="1622"/>
      <c r="K7" s="1622"/>
      <c r="L7" s="1622"/>
      <c r="M7" s="1622"/>
      <c r="N7" s="1622"/>
      <c r="O7" s="1622"/>
      <c r="P7" s="1622"/>
      <c r="Q7" s="1622"/>
      <c r="R7" s="1622"/>
      <c r="S7" s="1622"/>
    </row>
    <row r="8" spans="1:22">
      <c r="A8" s="2776">
        <f>'数据-取费表'!AN8</f>
        <v>0</v>
      </c>
      <c r="B8" s="2774" t="e">
        <f ca="1">IF(F8="是",'数据-取费表'!AO8,0)</f>
        <v>#REF!</v>
      </c>
      <c r="C8" s="2005" t="s">
        <v>2099</v>
      </c>
      <c r="D8" s="2884"/>
      <c r="E8" s="2778">
        <f>IF(OR(A8=0,F8="否"),0,'数据-取费表'!K8+'数据-取费表'!S8)</f>
        <v>0</v>
      </c>
      <c r="F8" s="2009" t="s">
        <v>2105</v>
      </c>
      <c r="G8" s="1622"/>
      <c r="H8" s="1622"/>
      <c r="I8" s="1622"/>
      <c r="J8" s="1622"/>
      <c r="K8" s="1622"/>
      <c r="L8" s="1622"/>
      <c r="M8" s="1622"/>
      <c r="N8" s="1622"/>
      <c r="O8" s="1622"/>
      <c r="P8" s="1622"/>
      <c r="Q8" s="1622"/>
      <c r="R8" s="1622"/>
      <c r="S8" s="1622"/>
    </row>
    <row r="9" spans="1:22">
      <c r="A9" s="2776">
        <f>'数据-取费表'!AN9</f>
        <v>0</v>
      </c>
      <c r="B9" s="2774" t="e">
        <f ca="1">IF(F9="是",'数据-取费表'!AO9,0)</f>
        <v>#REF!</v>
      </c>
      <c r="C9" s="2005" t="s">
        <v>2099</v>
      </c>
      <c r="D9" s="2884"/>
      <c r="E9" s="2778">
        <f>IF(OR(A9=0,F9="否"),0,'数据-取费表'!K9+'数据-取费表'!S9)</f>
        <v>0</v>
      </c>
      <c r="F9" s="2009" t="s">
        <v>2105</v>
      </c>
      <c r="G9" s="1622"/>
      <c r="H9" s="1622"/>
      <c r="I9" s="1622"/>
      <c r="J9" s="1622"/>
      <c r="K9" s="1622"/>
      <c r="L9" s="1622"/>
      <c r="M9" s="1622"/>
      <c r="N9" s="1622"/>
      <c r="O9" s="1622"/>
      <c r="P9" s="1622"/>
      <c r="Q9" s="1622"/>
      <c r="R9" s="1622"/>
      <c r="S9" s="1622"/>
    </row>
    <row r="10" spans="1:22">
      <c r="A10" s="2776">
        <f>'数据-取费表'!AN10</f>
        <v>0</v>
      </c>
      <c r="B10" s="2774" t="e">
        <f ca="1">IF(F10="是",'数据-取费表'!AO10,0)</f>
        <v>#REF!</v>
      </c>
      <c r="C10" s="2005" t="s">
        <v>2099</v>
      </c>
      <c r="D10" s="2884"/>
      <c r="E10" s="2778">
        <f>IF(OR(A10=0,F10="否"),0,'数据-取费表'!K10+'数据-取费表'!S10)</f>
        <v>0</v>
      </c>
      <c r="F10" s="2009" t="s">
        <v>2105</v>
      </c>
      <c r="G10" s="1622"/>
      <c r="H10" s="1622"/>
      <c r="I10" s="1622"/>
      <c r="J10" s="1622"/>
      <c r="K10" s="1622"/>
      <c r="L10" s="1622"/>
      <c r="M10" s="1622"/>
      <c r="N10" s="1622"/>
      <c r="O10" s="1622"/>
      <c r="P10" s="1622"/>
      <c r="Q10" s="1622"/>
      <c r="R10" s="1622"/>
      <c r="S10" s="1622"/>
    </row>
    <row r="11" spans="1:22">
      <c r="A11" s="2776">
        <f>'数据-取费表'!AN11</f>
        <v>0</v>
      </c>
      <c r="B11" s="2774" t="e">
        <f ca="1">IF(F11="是",'数据-取费表'!AO11,0)</f>
        <v>#REF!</v>
      </c>
      <c r="C11" s="2005" t="s">
        <v>2099</v>
      </c>
      <c r="D11" s="2884"/>
      <c r="E11" s="2778">
        <f>IF(OR(A11=0,F11="否"),0,'数据-取费表'!K11+'数据-取费表'!S11)</f>
        <v>0</v>
      </c>
      <c r="F11" s="2009" t="s">
        <v>2105</v>
      </c>
      <c r="G11" s="1622"/>
      <c r="H11" s="1622"/>
      <c r="I11" s="1622"/>
      <c r="J11" s="1622"/>
      <c r="K11" s="1622"/>
      <c r="L11" s="1622"/>
      <c r="M11" s="1622"/>
      <c r="N11" s="1622"/>
      <c r="O11" s="1622"/>
      <c r="P11" s="1622"/>
      <c r="Q11" s="1622"/>
      <c r="R11" s="1622"/>
      <c r="S11" s="1622"/>
    </row>
    <row r="12" spans="1:22">
      <c r="A12" s="2776">
        <f>'数据-取费表'!AN12</f>
        <v>0</v>
      </c>
      <c r="B12" s="2774" t="e">
        <f ca="1">IF(F12="是",'数据-取费表'!AO12,0)</f>
        <v>#REF!</v>
      </c>
      <c r="C12" s="2005" t="s">
        <v>2099</v>
      </c>
      <c r="D12" s="2884"/>
      <c r="E12" s="2778">
        <f>IF(OR(A12=0,F12="否"),0,'数据-取费表'!K12+'数据-取费表'!S12)</f>
        <v>0</v>
      </c>
      <c r="F12" s="2009" t="s">
        <v>2105</v>
      </c>
      <c r="G12" s="1622"/>
      <c r="H12" s="1622"/>
      <c r="I12" s="1622"/>
      <c r="J12" s="1622"/>
      <c r="K12" s="1622"/>
      <c r="L12" s="1622"/>
      <c r="M12" s="1622"/>
      <c r="N12" s="1622"/>
      <c r="O12" s="1622"/>
      <c r="P12" s="1622"/>
      <c r="Q12" s="1622"/>
      <c r="R12" s="1622"/>
      <c r="S12" s="1622"/>
    </row>
    <row r="13" spans="1:22" ht="15" thickBot="1">
      <c r="A13" s="2777">
        <f>'数据-取费表'!AN13</f>
        <v>0</v>
      </c>
      <c r="B13" s="2774" t="e">
        <f ca="1">IF(F13="是",'数据-取费表'!AO13,0)</f>
        <v>#REF!</v>
      </c>
      <c r="C13" s="2010" t="s">
        <v>2099</v>
      </c>
      <c r="D13" s="2885"/>
      <c r="E13" s="2778">
        <f>IF(OR(A13=0,F13="否"),0,'数据-取费表'!K13+'数据-取费表'!S13)</f>
        <v>0</v>
      </c>
      <c r="F13" s="2009"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18">
      <c r="A4" s="1613" t="str">
        <f>"受贵公司委托，我公司对"&amp;项目基本情况!S1&amp;"进行了预评估。"</f>
        <v>受贵公司委托，我公司对北京市房地产抵押价值进行了预评估。</v>
      </c>
    </row>
    <row r="5" spans="1:1" ht="18.75">
      <c r="A5" s="1614" t="s">
        <v>1336</v>
      </c>
    </row>
    <row r="6" spans="1:1" ht="18.75">
      <c r="A6" s="1615" t="s">
        <v>1337</v>
      </c>
    </row>
    <row r="7" spans="1:1" ht="36">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估价对象为北京市房地产，为所有。根据《国有土地使用证》[]，估价对象（分摊）出让国有建设用地使用权面积为0平方米，建筑面积为3836.12平方米。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估价对象为北京市房地产,属开发建设的，该项目尚在开发建设中。根据《国有土地使用证》[]，估价对象（分摊）出让国有建设用地使用权面积为0平方米，规划建筑面积为3836.12平方米。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2022年8月15日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1333</v>
      </c>
    </row>
    <row r="24" spans="1:1" ht="18">
      <c r="A24" s="1620" t="str">
        <f>"本次评估采用的主估价方法为"&amp;结果表!K4&amp;"和"&amp;结果表!L4&amp;"。"</f>
        <v>本次评估采用的主估价方法为成本法和收益法。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1" t="s">
        <v>2109</v>
      </c>
      <c r="C1" s="1356" t="s">
        <v>2110</v>
      </c>
      <c r="D1" s="1343"/>
      <c r="E1" s="2491"/>
      <c r="F1" s="2012" t="s">
        <v>2111</v>
      </c>
      <c r="G1" s="1353" t="s">
        <v>2112</v>
      </c>
      <c r="H1" s="1352"/>
      <c r="I1" s="1352"/>
      <c r="J1" s="1352"/>
      <c r="K1" s="1354"/>
      <c r="L1" s="1355"/>
      <c r="M1" s="1356"/>
      <c r="N1" s="1356"/>
      <c r="O1" s="1356"/>
      <c r="P1" s="2013"/>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4"/>
      <c r="D2" s="1225" t="e">
        <f ca="1">SUMIF(INDIRECT("'"&amp;F2&amp;"'"&amp;"!A:A"),"承租人权益价值",INDIRECT("'"&amp;F2&amp;"'"&amp;"!c:c"))</f>
        <v>#REF!</v>
      </c>
      <c r="E2" s="2015" t="s">
        <v>2113</v>
      </c>
      <c r="F2" s="2016"/>
      <c r="G2" s="1016"/>
      <c r="H2" s="1016"/>
      <c r="I2" s="1016"/>
      <c r="J2" s="1016"/>
      <c r="K2" s="2017"/>
      <c r="L2" s="2888"/>
      <c r="M2" s="2889"/>
      <c r="N2" s="2889"/>
      <c r="O2" s="2889"/>
      <c r="P2" s="2018"/>
      <c r="Q2" s="2019"/>
      <c r="R2" s="2019"/>
      <c r="S2" s="2019"/>
      <c r="T2" s="2019"/>
      <c r="U2" s="2019"/>
      <c r="V2" s="2019"/>
      <c r="W2" s="2019"/>
      <c r="X2" s="2019"/>
      <c r="Y2" s="2019"/>
      <c r="Z2" s="2019"/>
      <c r="AA2" s="2019"/>
      <c r="AB2" s="2019"/>
      <c r="AC2" s="2020"/>
    </row>
    <row r="3" spans="1:29" s="353" customFormat="1" ht="28.5" customHeight="1" thickBot="1">
      <c r="A3" s="209" t="s">
        <v>1119</v>
      </c>
      <c r="B3" s="359" t="e">
        <f ca="1">IF(C2="——",C49,ROUND(B2*10000/D3,0))</f>
        <v>#DIV/0!</v>
      </c>
      <c r="C3" s="360" t="s">
        <v>2114</v>
      </c>
      <c r="D3" s="359">
        <f>IF(D1="",'数据-汇总表'!E3,SUMIF('数据-汇总表'!$C19:$C33,D1,'数据-汇总表'!$E19:$E33))</f>
        <v>3836.1200000000003</v>
      </c>
      <c r="E3" s="1016"/>
      <c r="F3" s="2021"/>
      <c r="G3" s="1016"/>
      <c r="H3" s="1016"/>
      <c r="I3" s="1016"/>
      <c r="J3" s="1016"/>
      <c r="K3" s="2017"/>
      <c r="L3" s="2888"/>
      <c r="M3" s="2889"/>
      <c r="N3" s="2889"/>
      <c r="O3" s="2889"/>
      <c r="P3" s="2018"/>
      <c r="Q3" s="2019"/>
      <c r="R3" s="2019"/>
      <c r="S3" s="2019"/>
      <c r="T3" s="2019"/>
      <c r="U3" s="2019"/>
      <c r="V3" s="2019"/>
      <c r="W3" s="2019"/>
      <c r="X3" s="2019"/>
      <c r="Y3" s="2019"/>
      <c r="Z3" s="2019"/>
      <c r="AA3" s="2019"/>
      <c r="AB3" s="2019"/>
      <c r="AC3" s="1170"/>
    </row>
    <row r="4" spans="1:29" ht="15">
      <c r="A4" s="361" t="s">
        <v>2115</v>
      </c>
      <c r="B4" s="362"/>
      <c r="C4" s="3462" t="s">
        <v>2116</v>
      </c>
      <c r="D4" s="3488"/>
      <c r="E4" s="3489" t="s">
        <v>2117</v>
      </c>
      <c r="F4" s="3490"/>
      <c r="G4" s="3462" t="s">
        <v>2118</v>
      </c>
      <c r="H4" s="3488"/>
      <c r="I4" s="3462" t="s">
        <v>2119</v>
      </c>
      <c r="J4" s="3488"/>
      <c r="K4" s="2022" t="s">
        <v>2120</v>
      </c>
      <c r="L4" s="2890"/>
      <c r="M4" s="2891"/>
      <c r="N4" s="2891"/>
      <c r="O4" s="2891"/>
      <c r="P4" s="3491" t="s">
        <v>2121</v>
      </c>
      <c r="Q4" s="3492"/>
      <c r="R4" s="3468" t="s">
        <v>2117</v>
      </c>
      <c r="S4" s="3469"/>
      <c r="T4" s="3468" t="s">
        <v>2118</v>
      </c>
      <c r="U4" s="3469"/>
      <c r="V4" s="3481" t="s">
        <v>2119</v>
      </c>
      <c r="W4" s="3481"/>
      <c r="X4" s="1487"/>
      <c r="Y4" s="3468" t="s">
        <v>2121</v>
      </c>
      <c r="Z4" s="3469"/>
      <c r="AA4" s="3485" t="s">
        <v>2117</v>
      </c>
      <c r="AB4" s="3485" t="s">
        <v>2118</v>
      </c>
      <c r="AC4" s="3485" t="s">
        <v>2119</v>
      </c>
    </row>
    <row r="5" spans="1:29" ht="15">
      <c r="A5" s="364"/>
      <c r="B5" s="365"/>
      <c r="C5" s="3472" t="s">
        <v>2122</v>
      </c>
      <c r="D5" s="3473"/>
      <c r="E5" s="3497" t="s">
        <v>2123</v>
      </c>
      <c r="F5" s="3498"/>
      <c r="G5" s="3472" t="s">
        <v>2124</v>
      </c>
      <c r="H5" s="3473"/>
      <c r="I5" s="3472" t="s">
        <v>2125</v>
      </c>
      <c r="J5" s="3473"/>
      <c r="K5" s="2023"/>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2023"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44788</v>
      </c>
      <c r="D7" s="371">
        <v>100</v>
      </c>
      <c r="E7" s="372"/>
      <c r="F7" s="373">
        <f>SUMIF(58:58,YEAR(E7)&amp;"-"&amp;MONTH(E7),59:59)</f>
        <v>0</v>
      </c>
      <c r="G7" s="372"/>
      <c r="H7" s="371">
        <f>SUMIF(58:58,YEAR(G7)&amp;"-"&amp;MONTH(G7),59:59)</f>
        <v>0</v>
      </c>
      <c r="I7" s="372"/>
      <c r="J7" s="371">
        <f>SUMIF(58:58,YEAR(I7)&amp;"-"&amp;MONTH(I7),59:59)</f>
        <v>0</v>
      </c>
      <c r="K7" s="2024"/>
      <c r="L7" s="2892"/>
      <c r="M7" s="2893"/>
      <c r="N7" s="2893"/>
      <c r="O7" s="2893"/>
      <c r="P7" s="3466" t="s">
        <v>2129</v>
      </c>
      <c r="Q7" s="3476"/>
      <c r="R7" s="710" t="s">
        <v>23</v>
      </c>
      <c r="S7" s="711">
        <f t="shared" ref="S7:S15" si="0">F7</f>
        <v>0</v>
      </c>
      <c r="T7" s="710" t="s">
        <v>23</v>
      </c>
      <c r="U7" s="711">
        <f t="shared" ref="U7:U15" si="1">H7</f>
        <v>0</v>
      </c>
      <c r="V7" s="710" t="s">
        <v>23</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2025"/>
      <c r="F8" s="373">
        <f>SUMIF(61:61,E8,62:62)-SUMIF(61:61,C8,62:62)+100</f>
        <v>0</v>
      </c>
      <c r="G8" s="374"/>
      <c r="H8" s="371">
        <f>SUMIF(61:61,G8,62:62)-SUMIF(61:61,C8,62:62)+100</f>
        <v>0</v>
      </c>
      <c r="I8" s="2025"/>
      <c r="J8" s="371">
        <f>SUMIF(61:61,I8,62:62)-SUMIF(61:61,C8,62:62)+100</f>
        <v>0</v>
      </c>
      <c r="K8" s="2024"/>
      <c r="L8" s="2892"/>
      <c r="M8" s="2893"/>
      <c r="N8" s="2893"/>
      <c r="O8" s="2893"/>
      <c r="P8" s="3466" t="s">
        <v>2132</v>
      </c>
      <c r="Q8" s="3467"/>
      <c r="R8" s="710" t="s">
        <v>23</v>
      </c>
      <c r="S8" s="711">
        <f t="shared" si="0"/>
        <v>0</v>
      </c>
      <c r="T8" s="710" t="s">
        <v>23</v>
      </c>
      <c r="U8" s="711">
        <f t="shared" si="1"/>
        <v>0</v>
      </c>
      <c r="V8" s="710" t="s">
        <v>23</v>
      </c>
      <c r="W8" s="711">
        <f t="shared" si="2"/>
        <v>0</v>
      </c>
      <c r="X8" s="712"/>
      <c r="Y8" s="3466" t="s">
        <v>2132</v>
      </c>
      <c r="Z8" s="346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4"/>
      <c r="L9" s="2892"/>
      <c r="M9" s="2893"/>
      <c r="N9" s="2893"/>
      <c r="O9" s="2893"/>
      <c r="P9" s="3464"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64"/>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64"/>
      <c r="Q11" s="1475"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6">
        <v>111</v>
      </c>
      <c r="C12" s="391"/>
      <c r="D12" s="392">
        <v>100</v>
      </c>
      <c r="E12" s="391"/>
      <c r="F12" s="384">
        <f>SUMIF(70:70,E12,71:71)-SUMIF(70:70,C12,71:71)+100</f>
        <v>100</v>
      </c>
      <c r="G12" s="391"/>
      <c r="H12" s="132">
        <f>SUMIF(70:70,G12,71:71)-SUMIF(70:70,C12,71:71)+100</f>
        <v>100</v>
      </c>
      <c r="I12" s="391"/>
      <c r="J12" s="132">
        <f>SUMIF(70:70,I12,71:71)-SUMIF(70:70,C12,71:71)+100</f>
        <v>100</v>
      </c>
      <c r="K12" s="2027"/>
      <c r="L12" s="2892"/>
      <c r="M12" s="2893"/>
      <c r="N12" s="2893"/>
      <c r="O12" s="2893"/>
      <c r="P12" s="3464"/>
      <c r="Q12" s="1475">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2027"/>
      <c r="L13" s="2897"/>
      <c r="M13" s="2891"/>
      <c r="N13" s="2891"/>
      <c r="O13" s="2891"/>
      <c r="P13" s="3464"/>
      <c r="Q13" s="1475">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396"/>
      <c r="F14" s="398">
        <f>SUMIF(74:74,E14,75:75)-SUMIF(74:74,C14,75:75)+100</f>
        <v>100</v>
      </c>
      <c r="G14" s="396"/>
      <c r="H14" s="397">
        <f>SUMIF(74:74,G14,75:75)-SUMIF(74:74,C14,75:75)+100</f>
        <v>100</v>
      </c>
      <c r="I14" s="396"/>
      <c r="J14" s="397">
        <f>SUMIF(74:74,I14,75:75)-SUMIF(74:74,C14,75:75)+100</f>
        <v>100</v>
      </c>
      <c r="K14" s="2027"/>
      <c r="L14" s="2897"/>
      <c r="M14" s="2891"/>
      <c r="N14" s="2891"/>
      <c r="O14" s="2891"/>
      <c r="P14" s="3464"/>
      <c r="Q14" s="1475">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99.75">
      <c r="A15" s="399" t="s">
        <v>2139</v>
      </c>
      <c r="B15" s="65" t="s">
        <v>1702</v>
      </c>
      <c r="C15" s="202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536" t="s">
        <v>2140</v>
      </c>
      <c r="Q15" s="1484" t="str">
        <f t="shared" si="6"/>
        <v>居住社区成熟度</v>
      </c>
      <c r="R15" s="714" t="s">
        <v>21</v>
      </c>
      <c r="S15" s="715">
        <f t="shared" si="0"/>
        <v>100</v>
      </c>
      <c r="T15" s="714" t="s">
        <v>21</v>
      </c>
      <c r="U15" s="715">
        <f t="shared" si="1"/>
        <v>100</v>
      </c>
      <c r="V15" s="714" t="s">
        <v>21</v>
      </c>
      <c r="W15" s="715">
        <f t="shared" si="2"/>
        <v>100</v>
      </c>
      <c r="X15" s="1487"/>
      <c r="Y15" s="3482" t="s">
        <v>2140</v>
      </c>
      <c r="Z15" s="1488" t="str">
        <f t="shared" si="7"/>
        <v>居住社区成熟度</v>
      </c>
      <c r="AA15" s="1485">
        <f t="shared" si="3"/>
        <v>1</v>
      </c>
      <c r="AB15" s="1485">
        <f t="shared" si="4"/>
        <v>1</v>
      </c>
      <c r="AC15" s="1485">
        <f t="shared" si="5"/>
        <v>1</v>
      </c>
    </row>
    <row r="16" spans="1:29" ht="15">
      <c r="A16" s="387"/>
      <c r="B16" s="405"/>
      <c r="C16" s="406"/>
      <c r="D16" s="407"/>
      <c r="E16" s="2030"/>
      <c r="F16" s="407"/>
      <c r="G16" s="2031"/>
      <c r="H16" s="409"/>
      <c r="I16" s="2031"/>
      <c r="J16" s="407"/>
      <c r="K16" s="2032"/>
      <c r="L16" s="2897"/>
      <c r="M16" s="2891"/>
      <c r="N16" s="2891"/>
      <c r="O16" s="2891"/>
      <c r="P16" s="3537"/>
      <c r="Q16" s="1484"/>
      <c r="R16" s="714"/>
      <c r="S16" s="715"/>
      <c r="T16" s="714"/>
      <c r="U16" s="715"/>
      <c r="V16" s="714"/>
      <c r="W16" s="715"/>
      <c r="X16" s="1487"/>
      <c r="Y16" s="3483"/>
      <c r="Z16" s="1488"/>
      <c r="AA16" s="1485">
        <v>1</v>
      </c>
      <c r="AB16" s="1485">
        <v>1</v>
      </c>
      <c r="AC16" s="1485">
        <v>1</v>
      </c>
    </row>
    <row r="17" spans="1:29" ht="85.5">
      <c r="A17" s="387"/>
      <c r="B17" s="410" t="s">
        <v>1704</v>
      </c>
      <c r="C17" s="203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537"/>
      <c r="Q17" s="1484" t="str">
        <f>B17</f>
        <v>交通便捷度</v>
      </c>
      <c r="R17" s="714" t="s">
        <v>21</v>
      </c>
      <c r="S17" s="715">
        <f>F17</f>
        <v>100</v>
      </c>
      <c r="T17" s="714" t="s">
        <v>21</v>
      </c>
      <c r="U17" s="715">
        <f>H17</f>
        <v>100</v>
      </c>
      <c r="V17" s="714" t="s">
        <v>21</v>
      </c>
      <c r="W17" s="715">
        <f>J17</f>
        <v>100</v>
      </c>
      <c r="X17" s="1487"/>
      <c r="Y17" s="3483"/>
      <c r="Z17" s="1488" t="str">
        <f>Q17</f>
        <v>交通便捷度</v>
      </c>
      <c r="AA17" s="1485">
        <f t="shared" si="3"/>
        <v>1</v>
      </c>
      <c r="AB17" s="1485">
        <f t="shared" si="4"/>
        <v>1</v>
      </c>
      <c r="AC17" s="1485">
        <f t="shared" si="5"/>
        <v>1</v>
      </c>
    </row>
    <row r="18" spans="1:29" ht="15">
      <c r="A18" s="387"/>
      <c r="B18" s="415"/>
      <c r="C18" s="2034"/>
      <c r="D18" s="409"/>
      <c r="E18" s="2035"/>
      <c r="F18" s="409"/>
      <c r="G18" s="2036"/>
      <c r="H18" s="407"/>
      <c r="I18" s="2036"/>
      <c r="J18" s="407"/>
      <c r="K18" s="2032"/>
      <c r="L18" s="2897"/>
      <c r="M18" s="2891"/>
      <c r="N18" s="2891"/>
      <c r="O18" s="2891"/>
      <c r="P18" s="3537"/>
      <c r="Q18" s="1484"/>
      <c r="R18" s="714"/>
      <c r="S18" s="715"/>
      <c r="T18" s="714"/>
      <c r="U18" s="715"/>
      <c r="V18" s="714"/>
      <c r="W18" s="715"/>
      <c r="X18" s="1487"/>
      <c r="Y18" s="3483"/>
      <c r="Z18" s="1488"/>
      <c r="AA18" s="1485">
        <v>1</v>
      </c>
      <c r="AB18" s="1485">
        <v>1</v>
      </c>
      <c r="AC18" s="1485">
        <v>1</v>
      </c>
    </row>
    <row r="19" spans="1:29" ht="42.75">
      <c r="A19" s="387"/>
      <c r="B19" s="410" t="s">
        <v>1703</v>
      </c>
      <c r="C19" s="203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537"/>
      <c r="Q19" s="1484" t="str">
        <f>B19</f>
        <v>公共配套设施</v>
      </c>
      <c r="R19" s="714" t="s">
        <v>21</v>
      </c>
      <c r="S19" s="715">
        <f>F19</f>
        <v>100</v>
      </c>
      <c r="T19" s="714" t="s">
        <v>21</v>
      </c>
      <c r="U19" s="715">
        <f>H19</f>
        <v>100</v>
      </c>
      <c r="V19" s="714" t="s">
        <v>21</v>
      </c>
      <c r="W19" s="715">
        <f>J19</f>
        <v>100</v>
      </c>
      <c r="X19" s="1487"/>
      <c r="Y19" s="3483"/>
      <c r="Z19" s="1488" t="str">
        <f>Q19</f>
        <v>公共配套设施</v>
      </c>
      <c r="AA19" s="1485">
        <f t="shared" si="3"/>
        <v>1</v>
      </c>
      <c r="AB19" s="1485">
        <f t="shared" si="4"/>
        <v>1</v>
      </c>
      <c r="AC19" s="1485">
        <f t="shared" si="5"/>
        <v>1</v>
      </c>
    </row>
    <row r="20" spans="1:29" ht="15">
      <c r="A20" s="387"/>
      <c r="B20" s="415"/>
      <c r="C20" s="406"/>
      <c r="D20" s="407"/>
      <c r="E20" s="2030"/>
      <c r="F20" s="407"/>
      <c r="G20" s="2031"/>
      <c r="H20" s="407"/>
      <c r="I20" s="2031"/>
      <c r="J20" s="407"/>
      <c r="K20" s="2032"/>
      <c r="L20" s="2897"/>
      <c r="M20" s="2891"/>
      <c r="N20" s="2891"/>
      <c r="O20" s="2891"/>
      <c r="P20" s="3537"/>
      <c r="Q20" s="1484"/>
      <c r="R20" s="714"/>
      <c r="S20" s="715"/>
      <c r="T20" s="714"/>
      <c r="U20" s="715"/>
      <c r="V20" s="714"/>
      <c r="W20" s="715"/>
      <c r="X20" s="1487"/>
      <c r="Y20" s="3483"/>
      <c r="Z20" s="1488"/>
      <c r="AA20" s="1485">
        <v>1</v>
      </c>
      <c r="AB20" s="1485">
        <v>1</v>
      </c>
      <c r="AC20" s="1485">
        <v>1</v>
      </c>
    </row>
    <row r="21" spans="1:29" ht="28.5">
      <c r="A21" s="387"/>
      <c r="B21" s="1243" t="s">
        <v>1705</v>
      </c>
      <c r="C21" s="203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537"/>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7"/>
      <c r="G22" s="2037"/>
      <c r="H22" s="407"/>
      <c r="I22" s="406"/>
      <c r="J22" s="407"/>
      <c r="K22" s="2038"/>
      <c r="L22" s="2897"/>
      <c r="M22" s="2891"/>
      <c r="N22" s="2891"/>
      <c r="O22" s="2891"/>
      <c r="P22" s="3537"/>
      <c r="Q22" s="1484"/>
      <c r="R22" s="714"/>
      <c r="S22" s="715"/>
      <c r="T22" s="714"/>
      <c r="U22" s="715"/>
      <c r="V22" s="714"/>
      <c r="W22" s="715"/>
      <c r="X22" s="1487"/>
      <c r="Y22" s="3483"/>
      <c r="Z22" s="1488"/>
      <c r="AA22" s="1485">
        <v>1</v>
      </c>
      <c r="AB22" s="1485">
        <v>1</v>
      </c>
      <c r="AC22" s="1485">
        <v>1</v>
      </c>
    </row>
    <row r="23" spans="1:29" ht="57">
      <c r="A23" s="387"/>
      <c r="B23" s="410" t="s">
        <v>1706</v>
      </c>
      <c r="C23" s="203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537"/>
      <c r="Q23" s="1484" t="str">
        <f>B23</f>
        <v>自然及人文环境</v>
      </c>
      <c r="R23" s="714" t="s">
        <v>21</v>
      </c>
      <c r="S23" s="715">
        <f>F23</f>
        <v>100</v>
      </c>
      <c r="T23" s="714" t="s">
        <v>21</v>
      </c>
      <c r="U23" s="715">
        <f>H23</f>
        <v>100</v>
      </c>
      <c r="V23" s="714" t="s">
        <v>21</v>
      </c>
      <c r="W23" s="715">
        <f>J23</f>
        <v>100</v>
      </c>
      <c r="X23" s="1487"/>
      <c r="Y23" s="3483"/>
      <c r="Z23" s="1488" t="str">
        <f>Q23</f>
        <v>自然及人文环境</v>
      </c>
      <c r="AA23" s="1485">
        <f>D23/F23</f>
        <v>1</v>
      </c>
      <c r="AB23" s="1485">
        <f>D23/H23</f>
        <v>1</v>
      </c>
      <c r="AC23" s="1485">
        <f>D23/J23</f>
        <v>1</v>
      </c>
    </row>
    <row r="24" spans="1:29" ht="15">
      <c r="A24" s="387"/>
      <c r="B24" s="415"/>
      <c r="C24" s="406"/>
      <c r="D24" s="407"/>
      <c r="E24" s="2030"/>
      <c r="F24" s="407"/>
      <c r="G24" s="2031"/>
      <c r="H24" s="407"/>
      <c r="I24" s="2031"/>
      <c r="J24" s="407"/>
      <c r="K24" s="2032"/>
      <c r="L24" s="2897"/>
      <c r="M24" s="2891"/>
      <c r="N24" s="2891"/>
      <c r="O24" s="2891"/>
      <c r="P24" s="3537"/>
      <c r="Q24" s="1484"/>
      <c r="R24" s="714"/>
      <c r="S24" s="715"/>
      <c r="T24" s="714"/>
      <c r="U24" s="715"/>
      <c r="V24" s="714"/>
      <c r="W24" s="715"/>
      <c r="X24" s="1487"/>
      <c r="Y24" s="3483"/>
      <c r="Z24" s="1488"/>
      <c r="AA24" s="1485">
        <v>1</v>
      </c>
      <c r="AB24" s="1485">
        <v>1</v>
      </c>
      <c r="AC24" s="1485">
        <v>1</v>
      </c>
    </row>
    <row r="25" spans="1:29" ht="15">
      <c r="A25" s="387"/>
      <c r="B25" s="381" t="s">
        <v>2141</v>
      </c>
      <c r="C25" s="419"/>
      <c r="D25" s="394">
        <v>100</v>
      </c>
      <c r="E25" s="2039"/>
      <c r="F25" s="394">
        <f>SUMIF(86:86,E25,87:87)-SUMIF(86:86,C25,87:87)+100</f>
        <v>100</v>
      </c>
      <c r="G25" s="2040"/>
      <c r="H25" s="394">
        <f>SUMIF(86:86,G25,87:87)-SUMIF(86:86,C25,87:87)+100</f>
        <v>100</v>
      </c>
      <c r="I25" s="2040"/>
      <c r="J25" s="394">
        <f>SUMIF(86:86,I25,87:87)-SUMIF(86:86,C25,87:87)+100</f>
        <v>100</v>
      </c>
      <c r="K25" s="385"/>
      <c r="L25" s="2897"/>
      <c r="M25" s="2891"/>
      <c r="N25" s="2891"/>
      <c r="O25" s="2891"/>
      <c r="P25" s="3537"/>
      <c r="Q25" s="1484" t="str">
        <f t="shared" ref="Q25:Q46" si="11">B25</f>
        <v>楼层-1</v>
      </c>
      <c r="R25" s="714" t="s">
        <v>21</v>
      </c>
      <c r="S25" s="715">
        <f t="shared" ref="S25:S46" si="12">F25</f>
        <v>100</v>
      </c>
      <c r="T25" s="714" t="s">
        <v>21</v>
      </c>
      <c r="U25" s="715">
        <f t="shared" ref="U25:U46" si="13">H25</f>
        <v>100</v>
      </c>
      <c r="V25" s="714" t="s">
        <v>21</v>
      </c>
      <c r="W25" s="715">
        <f t="shared" ref="W25:W46" si="14">J25</f>
        <v>100</v>
      </c>
      <c r="X25" s="1487"/>
      <c r="Y25" s="3483"/>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39"/>
      <c r="F26" s="394">
        <f>SUMIF(88:88,E26,89:89)-SUMIF(88:88,C26,89:89)+100</f>
        <v>100</v>
      </c>
      <c r="G26" s="2040"/>
      <c r="H26" s="394">
        <f>SUMIF(88:88,G26,89:89)-SUMIF(88:88,C26,89:89)+100</f>
        <v>100</v>
      </c>
      <c r="I26" s="2040"/>
      <c r="J26" s="394">
        <f>SUMIF(88:88,I26,89:89)-SUMIF(88:88,C26,89:89)+100</f>
        <v>100</v>
      </c>
      <c r="K26" s="385"/>
      <c r="L26" s="2897"/>
      <c r="M26" s="2891"/>
      <c r="N26" s="2891"/>
      <c r="O26" s="2891"/>
      <c r="P26" s="3537"/>
      <c r="Q26" s="1484" t="str">
        <f t="shared" si="11"/>
        <v>朝向</v>
      </c>
      <c r="R26" s="714" t="s">
        <v>21</v>
      </c>
      <c r="S26" s="715">
        <f t="shared" si="12"/>
        <v>100</v>
      </c>
      <c r="T26" s="714" t="s">
        <v>21</v>
      </c>
      <c r="U26" s="715">
        <f t="shared" si="13"/>
        <v>100</v>
      </c>
      <c r="V26" s="714" t="s">
        <v>21</v>
      </c>
      <c r="W26" s="715">
        <f t="shared" si="14"/>
        <v>100</v>
      </c>
      <c r="X26" s="1487"/>
      <c r="Y26" s="3483"/>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7"/>
      <c r="L27" s="2892"/>
      <c r="M27" s="2893"/>
      <c r="N27" s="2893"/>
      <c r="O27" s="2893"/>
      <c r="P27" s="3537"/>
      <c r="Q27" s="1475">
        <f t="shared" si="11"/>
        <v>111</v>
      </c>
      <c r="R27" s="710" t="s">
        <v>21</v>
      </c>
      <c r="S27" s="711">
        <f t="shared" si="12"/>
        <v>100</v>
      </c>
      <c r="T27" s="710" t="s">
        <v>21</v>
      </c>
      <c r="U27" s="711">
        <f t="shared" si="13"/>
        <v>100</v>
      </c>
      <c r="V27" s="710" t="s">
        <v>21</v>
      </c>
      <c r="W27" s="711">
        <f t="shared" si="14"/>
        <v>100</v>
      </c>
      <c r="X27" s="712"/>
      <c r="Y27" s="3483"/>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1"/>
      <c r="H28" s="394">
        <f>SUMIF(92:92,G28,93:93)-SUMIF(92:92,C28,93:93)+100</f>
        <v>100</v>
      </c>
      <c r="I28" s="393"/>
      <c r="J28" s="394">
        <f>SUMIF(92:92,I28,93:93)-SUMIF(92:92,C28,93:93)+100</f>
        <v>100</v>
      </c>
      <c r="K28" s="2027"/>
      <c r="L28" s="2897"/>
      <c r="M28" s="2891"/>
      <c r="N28" s="2891"/>
      <c r="O28" s="2891"/>
      <c r="P28" s="3537"/>
      <c r="Q28" s="1484">
        <f t="shared" si="11"/>
        <v>111</v>
      </c>
      <c r="R28" s="714" t="s">
        <v>21</v>
      </c>
      <c r="S28" s="715">
        <f t="shared" si="12"/>
        <v>100</v>
      </c>
      <c r="T28" s="714" t="s">
        <v>21</v>
      </c>
      <c r="U28" s="715">
        <f t="shared" si="13"/>
        <v>100</v>
      </c>
      <c r="V28" s="714" t="s">
        <v>21</v>
      </c>
      <c r="W28" s="715">
        <f t="shared" si="14"/>
        <v>100</v>
      </c>
      <c r="X28" s="1487"/>
      <c r="Y28" s="3483"/>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1"/>
      <c r="H29" s="394">
        <f>SUMIF(94:94,G29,95:95)-SUMIF(94:94,C29,95:95)+100</f>
        <v>100</v>
      </c>
      <c r="I29" s="393"/>
      <c r="J29" s="394">
        <f>SUMIF(94:94,I29,95:95)-SUMIF(94:94,C29,95:95)+100</f>
        <v>100</v>
      </c>
      <c r="K29" s="2027"/>
      <c r="L29" s="2897"/>
      <c r="M29" s="2891"/>
      <c r="N29" s="2891"/>
      <c r="O29" s="2891"/>
      <c r="P29" s="3537"/>
      <c r="Q29" s="1484">
        <f t="shared" si="11"/>
        <v>111</v>
      </c>
      <c r="R29" s="714" t="s">
        <v>21</v>
      </c>
      <c r="S29" s="715">
        <f t="shared" si="12"/>
        <v>100</v>
      </c>
      <c r="T29" s="714" t="s">
        <v>21</v>
      </c>
      <c r="U29" s="715">
        <f t="shared" si="13"/>
        <v>100</v>
      </c>
      <c r="V29" s="714" t="s">
        <v>21</v>
      </c>
      <c r="W29" s="715">
        <f t="shared" si="14"/>
        <v>100</v>
      </c>
      <c r="X29" s="1487"/>
      <c r="Y29" s="3483"/>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1"/>
      <c r="H30" s="394">
        <f>SUMIF(96:96,G30,97:97)-SUMIF(96:96,C30,97:97)+100</f>
        <v>100</v>
      </c>
      <c r="I30" s="393"/>
      <c r="J30" s="394">
        <f>SUMIF(96:96,I30,97:97)-SUMIF(96:96,C30,97:97)+100</f>
        <v>100</v>
      </c>
      <c r="K30" s="2027"/>
      <c r="L30" s="2897"/>
      <c r="M30" s="2891"/>
      <c r="N30" s="2891"/>
      <c r="O30" s="2891"/>
      <c r="P30" s="3537"/>
      <c r="Q30" s="1484">
        <f t="shared" si="11"/>
        <v>111</v>
      </c>
      <c r="R30" s="714" t="s">
        <v>21</v>
      </c>
      <c r="S30" s="715">
        <f t="shared" si="12"/>
        <v>100</v>
      </c>
      <c r="T30" s="714" t="s">
        <v>21</v>
      </c>
      <c r="U30" s="715">
        <f t="shared" si="13"/>
        <v>100</v>
      </c>
      <c r="V30" s="714" t="s">
        <v>21</v>
      </c>
      <c r="W30" s="715">
        <f t="shared" si="14"/>
        <v>100</v>
      </c>
      <c r="X30" s="1487"/>
      <c r="Y30" s="3483"/>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2"/>
      <c r="H31" s="397">
        <f>SUMIF(98:98,G31,99:99)-SUMIF(98:98,C31,99:99)+100</f>
        <v>100</v>
      </c>
      <c r="I31" s="396"/>
      <c r="J31" s="397">
        <f>SUMIF(98:98,I31,99:99)-SUMIF(98:98,C31,99:99)+100</f>
        <v>100</v>
      </c>
      <c r="K31" s="2027"/>
      <c r="L31" s="2897"/>
      <c r="M31" s="2891"/>
      <c r="N31" s="2891"/>
      <c r="O31" s="2891"/>
      <c r="P31" s="3537"/>
      <c r="Q31" s="1484">
        <f t="shared" si="11"/>
        <v>111</v>
      </c>
      <c r="R31" s="714" t="s">
        <v>21</v>
      </c>
      <c r="S31" s="715">
        <f t="shared" si="12"/>
        <v>100</v>
      </c>
      <c r="T31" s="714" t="s">
        <v>21</v>
      </c>
      <c r="U31" s="715">
        <f t="shared" si="13"/>
        <v>100</v>
      </c>
      <c r="V31" s="714" t="s">
        <v>21</v>
      </c>
      <c r="W31" s="715">
        <f t="shared" si="14"/>
        <v>100</v>
      </c>
      <c r="X31" s="1487"/>
      <c r="Y31" s="3483"/>
      <c r="Z31" s="1488">
        <f t="shared" si="18"/>
        <v>111</v>
      </c>
      <c r="AA31" s="1485">
        <f t="shared" si="15"/>
        <v>1</v>
      </c>
      <c r="AB31" s="1485">
        <f t="shared" si="16"/>
        <v>1</v>
      </c>
      <c r="AC31" s="1485">
        <f t="shared" si="17"/>
        <v>1</v>
      </c>
    </row>
    <row r="32" spans="1:29" ht="15">
      <c r="A32" s="399" t="s">
        <v>2143</v>
      </c>
      <c r="B32" s="67" t="s">
        <v>2144</v>
      </c>
      <c r="C32" s="2043"/>
      <c r="D32" s="426">
        <v>100</v>
      </c>
      <c r="E32" s="2044"/>
      <c r="F32" s="420">
        <f>SUMIF(100:100,E32,101:101)-SUMIF(100:100,C32,101:101)+100</f>
        <v>100</v>
      </c>
      <c r="G32" s="2043"/>
      <c r="H32" s="426">
        <f>SUMIF(100:100,G32,101:101)-SUMIF(100:100,C32,101:101)+100</f>
        <v>100</v>
      </c>
      <c r="I32" s="2044"/>
      <c r="J32" s="394">
        <f>SUMIF(100:100,I32,101:101)-SUMIF(100:100,C32,101:101)+100</f>
        <v>100</v>
      </c>
      <c r="K32" s="385"/>
      <c r="L32" s="2897"/>
      <c r="M32" s="2891"/>
      <c r="N32" s="2891"/>
      <c r="O32" s="2891"/>
      <c r="P32" s="3532" t="s">
        <v>2145</v>
      </c>
      <c r="Q32" s="1484" t="str">
        <f t="shared" si="11"/>
        <v>建筑类型</v>
      </c>
      <c r="R32" s="714" t="s">
        <v>21</v>
      </c>
      <c r="S32" s="715">
        <f t="shared" si="12"/>
        <v>100</v>
      </c>
      <c r="T32" s="714" t="s">
        <v>21</v>
      </c>
      <c r="U32" s="715">
        <f t="shared" si="13"/>
        <v>100</v>
      </c>
      <c r="V32" s="714" t="s">
        <v>21</v>
      </c>
      <c r="W32" s="715">
        <f t="shared" si="14"/>
        <v>100</v>
      </c>
      <c r="X32" s="1487"/>
      <c r="Y32" s="3484"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7"/>
      <c r="L33" s="2896"/>
      <c r="M33" s="2898"/>
      <c r="N33" s="2898"/>
      <c r="O33" s="2898"/>
      <c r="P33" s="3533"/>
      <c r="Q33" s="716" t="str">
        <f t="shared" si="11"/>
        <v>项目建筑规模</v>
      </c>
      <c r="R33" s="717" t="s">
        <v>21</v>
      </c>
      <c r="S33" s="718" t="e">
        <f t="shared" si="12"/>
        <v>#N/A</v>
      </c>
      <c r="T33" s="717" t="s">
        <v>21</v>
      </c>
      <c r="U33" s="718" t="e">
        <f t="shared" si="13"/>
        <v>#N/A</v>
      </c>
      <c r="V33" s="717" t="s">
        <v>21</v>
      </c>
      <c r="W33" s="718" t="e">
        <f t="shared" si="14"/>
        <v>#N/A</v>
      </c>
      <c r="X33" s="719"/>
      <c r="Y33" s="3484"/>
      <c r="Z33" s="720" t="str">
        <f t="shared" si="18"/>
        <v>项目建筑规模</v>
      </c>
      <c r="AA33" s="1485" t="e">
        <f t="shared" si="15"/>
        <v>#N/A</v>
      </c>
      <c r="AB33" s="1485" t="e">
        <f t="shared" si="16"/>
        <v>#N/A</v>
      </c>
      <c r="AC33" s="1485" t="e">
        <f t="shared" si="17"/>
        <v>#N/A</v>
      </c>
    </row>
    <row r="34" spans="1:29" ht="15">
      <c r="A34" s="431"/>
      <c r="B34" s="381" t="s">
        <v>2147</v>
      </c>
      <c r="C34" s="2045"/>
      <c r="D34" s="394">
        <v>100</v>
      </c>
      <c r="E34" s="2046"/>
      <c r="F34" s="420">
        <f>SUMIF(105:105,E34,106:106)-SUMIF(105:105,C34,106:106)+100</f>
        <v>100</v>
      </c>
      <c r="G34" s="2045"/>
      <c r="H34" s="394">
        <f>SUMIF(105:105,G34,106:106)-SUMIF(105:105,C34,106:106)+100</f>
        <v>100</v>
      </c>
      <c r="I34" s="2046"/>
      <c r="J34" s="394">
        <f>SUMIF(105:105,I34,106:106)-SUMIF(105:105,C34,106:106)+100</f>
        <v>100</v>
      </c>
      <c r="K34" s="385"/>
      <c r="L34" s="2897"/>
      <c r="M34" s="2891"/>
      <c r="N34" s="2891"/>
      <c r="O34" s="2891"/>
      <c r="P34" s="3533"/>
      <c r="Q34" s="1484" t="str">
        <f t="shared" si="11"/>
        <v>建筑结构</v>
      </c>
      <c r="R34" s="714" t="s">
        <v>21</v>
      </c>
      <c r="S34" s="715">
        <f t="shared" si="12"/>
        <v>100</v>
      </c>
      <c r="T34" s="714" t="s">
        <v>21</v>
      </c>
      <c r="U34" s="715">
        <f t="shared" si="13"/>
        <v>100</v>
      </c>
      <c r="V34" s="714" t="s">
        <v>21</v>
      </c>
      <c r="W34" s="715">
        <f t="shared" si="14"/>
        <v>100</v>
      </c>
      <c r="X34" s="1487"/>
      <c r="Y34" s="3484"/>
      <c r="Z34" s="1488" t="str">
        <f t="shared" si="18"/>
        <v>建筑结构</v>
      </c>
      <c r="AA34" s="1485">
        <f t="shared" si="15"/>
        <v>1</v>
      </c>
      <c r="AB34" s="1485">
        <f t="shared" si="16"/>
        <v>1</v>
      </c>
      <c r="AC34" s="1485">
        <f t="shared" si="17"/>
        <v>1</v>
      </c>
    </row>
    <row r="35" spans="1:29" ht="15">
      <c r="A35" s="431"/>
      <c r="B35" s="381" t="s">
        <v>2148</v>
      </c>
      <c r="C35" s="2039"/>
      <c r="D35" s="394">
        <v>100</v>
      </c>
      <c r="E35" s="2040"/>
      <c r="F35" s="420">
        <f>SUMIF(107:107,E35,108:108)-SUMIF(107:107,C35,108:108)+100</f>
        <v>100</v>
      </c>
      <c r="G35" s="2039"/>
      <c r="H35" s="394">
        <f>SUMIF(107:107,G35,108:108)-SUMIF(107:107,C35,108:108)+100</f>
        <v>100</v>
      </c>
      <c r="I35" s="2040"/>
      <c r="J35" s="394">
        <f>SUMIF(107:107,I35,108:108)-SUMIF(107:107,C35,108:108)+100</f>
        <v>100</v>
      </c>
      <c r="K35" s="385"/>
      <c r="L35" s="2897"/>
      <c r="M35" s="2891"/>
      <c r="N35" s="2891"/>
      <c r="O35" s="2891"/>
      <c r="P35" s="3533"/>
      <c r="Q35" s="1484" t="str">
        <f t="shared" si="11"/>
        <v>建筑品质</v>
      </c>
      <c r="R35" s="714" t="s">
        <v>21</v>
      </c>
      <c r="S35" s="715">
        <f t="shared" si="12"/>
        <v>100</v>
      </c>
      <c r="T35" s="714" t="s">
        <v>21</v>
      </c>
      <c r="U35" s="715">
        <f t="shared" si="13"/>
        <v>100</v>
      </c>
      <c r="V35" s="714" t="s">
        <v>21</v>
      </c>
      <c r="W35" s="715">
        <f t="shared" si="14"/>
        <v>100</v>
      </c>
      <c r="X35" s="1487"/>
      <c r="Y35" s="3484"/>
      <c r="Z35" s="1488" t="str">
        <f t="shared" si="18"/>
        <v>建筑品质</v>
      </c>
      <c r="AA35" s="1485">
        <f t="shared" si="15"/>
        <v>1</v>
      </c>
      <c r="AB35" s="1485">
        <f t="shared" si="16"/>
        <v>1</v>
      </c>
      <c r="AC35" s="1485">
        <f t="shared" si="17"/>
        <v>1</v>
      </c>
    </row>
    <row r="36" spans="1:29" ht="15">
      <c r="A36" s="431"/>
      <c r="B36" s="381" t="s">
        <v>2149</v>
      </c>
      <c r="C36" s="2039"/>
      <c r="D36" s="394">
        <v>100</v>
      </c>
      <c r="E36" s="2040"/>
      <c r="F36" s="420">
        <f>SUMIF(109:109,E36,110:110)-SUMIF(109:109,C36,110:110)+100</f>
        <v>100</v>
      </c>
      <c r="G36" s="2039"/>
      <c r="H36" s="394">
        <f>SUMIF(109:109,G36,110:110)-SUMIF(109:109,C36,110:110)+100</f>
        <v>100</v>
      </c>
      <c r="I36" s="2040"/>
      <c r="J36" s="394">
        <f>SUMIF(109:109,I36,110:110)-SUMIF(109:109,C36,110:110)+100</f>
        <v>100</v>
      </c>
      <c r="K36" s="385"/>
      <c r="L36" s="2897"/>
      <c r="M36" s="2891"/>
      <c r="N36" s="2891"/>
      <c r="O36" s="2891"/>
      <c r="P36" s="3533"/>
      <c r="Q36" s="1484" t="str">
        <f t="shared" si="11"/>
        <v>公共部分装修</v>
      </c>
      <c r="R36" s="714" t="s">
        <v>21</v>
      </c>
      <c r="S36" s="715">
        <f t="shared" si="12"/>
        <v>100</v>
      </c>
      <c r="T36" s="714" t="s">
        <v>21</v>
      </c>
      <c r="U36" s="715">
        <f t="shared" si="13"/>
        <v>100</v>
      </c>
      <c r="V36" s="714" t="s">
        <v>21</v>
      </c>
      <c r="W36" s="715">
        <f t="shared" si="14"/>
        <v>100</v>
      </c>
      <c r="X36" s="1487"/>
      <c r="Y36" s="3484"/>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533"/>
      <c r="Q37" s="1475" t="str">
        <f t="shared" si="11"/>
        <v>成新度</v>
      </c>
      <c r="R37" s="710" t="s">
        <v>21</v>
      </c>
      <c r="S37" s="711" t="e">
        <f t="shared" si="12"/>
        <v>#N/A</v>
      </c>
      <c r="T37" s="710" t="s">
        <v>21</v>
      </c>
      <c r="U37" s="711" t="e">
        <f t="shared" si="13"/>
        <v>#N/A</v>
      </c>
      <c r="V37" s="710" t="s">
        <v>21</v>
      </c>
      <c r="W37" s="711" t="e">
        <f t="shared" si="14"/>
        <v>#N/A</v>
      </c>
      <c r="X37" s="712"/>
      <c r="Y37" s="3484"/>
      <c r="Z37" s="55" t="str">
        <f t="shared" si="18"/>
        <v>成新度</v>
      </c>
      <c r="AA37" s="713" t="e">
        <f t="shared" si="15"/>
        <v>#N/A</v>
      </c>
      <c r="AB37" s="713" t="e">
        <f t="shared" si="16"/>
        <v>#N/A</v>
      </c>
      <c r="AC37" s="713" t="e">
        <f t="shared" si="17"/>
        <v>#N/A</v>
      </c>
    </row>
    <row r="38" spans="1:29" ht="15">
      <c r="A38" s="431"/>
      <c r="B38" s="381" t="s">
        <v>2151</v>
      </c>
      <c r="C38" s="2039"/>
      <c r="D38" s="394">
        <v>100</v>
      </c>
      <c r="E38" s="2040"/>
      <c r="F38" s="420">
        <f>SUMIF(114:114,E38,115:115)-SUMIF(114:114,C38,115:115)+100</f>
        <v>100</v>
      </c>
      <c r="G38" s="2039"/>
      <c r="H38" s="394">
        <f>SUMIF(114:114,G38,115:115)-SUMIF(114:114,C38,115:115)+100</f>
        <v>100</v>
      </c>
      <c r="I38" s="2040"/>
      <c r="J38" s="394">
        <f>SUMIF(114:114,I38,115:115)-SUMIF(114:114,C38,115:115)+100</f>
        <v>100</v>
      </c>
      <c r="K38" s="385"/>
      <c r="L38" s="2897"/>
      <c r="M38" s="2891"/>
      <c r="N38" s="2891"/>
      <c r="O38" s="2891"/>
      <c r="P38" s="3533" t="s">
        <v>2145</v>
      </c>
      <c r="Q38" s="1484" t="str">
        <f t="shared" si="11"/>
        <v>物业管理</v>
      </c>
      <c r="R38" s="714" t="s">
        <v>21</v>
      </c>
      <c r="S38" s="715">
        <f t="shared" si="12"/>
        <v>100</v>
      </c>
      <c r="T38" s="714" t="s">
        <v>21</v>
      </c>
      <c r="U38" s="715">
        <f t="shared" si="13"/>
        <v>100</v>
      </c>
      <c r="V38" s="714" t="s">
        <v>21</v>
      </c>
      <c r="W38" s="715">
        <f t="shared" si="14"/>
        <v>100</v>
      </c>
      <c r="X38" s="1487"/>
      <c r="Y38" s="3484" t="s">
        <v>2145</v>
      </c>
      <c r="Z38" s="1488" t="str">
        <f t="shared" si="18"/>
        <v>物业管理</v>
      </c>
      <c r="AA38" s="1485">
        <f t="shared" si="15"/>
        <v>1</v>
      </c>
      <c r="AB38" s="1485">
        <f t="shared" si="16"/>
        <v>1</v>
      </c>
      <c r="AC38" s="1485">
        <f t="shared" si="17"/>
        <v>1</v>
      </c>
    </row>
    <row r="39" spans="1:29" ht="15">
      <c r="A39" s="431"/>
      <c r="B39" s="381" t="s">
        <v>2152</v>
      </c>
      <c r="C39" s="2039"/>
      <c r="D39" s="394">
        <v>100</v>
      </c>
      <c r="E39" s="2040"/>
      <c r="F39" s="420">
        <f>SUMIF(116:116,E39,117:117)-SUMIF(116:116,C39,117:117)+100</f>
        <v>100</v>
      </c>
      <c r="G39" s="2039"/>
      <c r="H39" s="394">
        <f>SUMIF(116:116,G39,117:117)-SUMIF(116:116,C39,117:117)+100</f>
        <v>100</v>
      </c>
      <c r="I39" s="2040"/>
      <c r="J39" s="394">
        <f>SUMIF(116:116,I39,117:117)-SUMIF(116:116,C39,117:117)+100</f>
        <v>100</v>
      </c>
      <c r="K39" s="385"/>
      <c r="L39" s="2897"/>
      <c r="M39" s="2891"/>
      <c r="N39" s="2891"/>
      <c r="O39" s="2891"/>
      <c r="P39" s="3533"/>
      <c r="Q39" s="1484" t="str">
        <f t="shared" si="11"/>
        <v>市政基础设施</v>
      </c>
      <c r="R39" s="714" t="s">
        <v>21</v>
      </c>
      <c r="S39" s="715">
        <f t="shared" si="12"/>
        <v>100</v>
      </c>
      <c r="T39" s="714" t="s">
        <v>21</v>
      </c>
      <c r="U39" s="715">
        <f t="shared" si="13"/>
        <v>100</v>
      </c>
      <c r="V39" s="714" t="s">
        <v>21</v>
      </c>
      <c r="W39" s="715">
        <f t="shared" si="14"/>
        <v>100</v>
      </c>
      <c r="X39" s="1487"/>
      <c r="Y39" s="3484"/>
      <c r="Z39" s="1488" t="str">
        <f t="shared" si="18"/>
        <v>市政基础设施</v>
      </c>
      <c r="AA39" s="1485">
        <f t="shared" si="15"/>
        <v>1</v>
      </c>
      <c r="AB39" s="1485">
        <f t="shared" si="16"/>
        <v>1</v>
      </c>
      <c r="AC39" s="1485">
        <f t="shared" si="17"/>
        <v>1</v>
      </c>
    </row>
    <row r="40" spans="1:29" ht="15">
      <c r="A40" s="431"/>
      <c r="B40" s="381" t="s">
        <v>2153</v>
      </c>
      <c r="C40" s="2039"/>
      <c r="D40" s="394">
        <v>100</v>
      </c>
      <c r="E40" s="2040"/>
      <c r="F40" s="420">
        <f>SUMIF(118:118,E40,119:119)-SUMIF(118:118,C40,119:119)+100</f>
        <v>100</v>
      </c>
      <c r="G40" s="2039"/>
      <c r="H40" s="394">
        <f>SUMIF(118:118,G40,119:119)-SUMIF(118:118,C40,119:119)+100</f>
        <v>100</v>
      </c>
      <c r="I40" s="2040"/>
      <c r="J40" s="394">
        <f>SUMIF(118:118,I40,119:119)-SUMIF(118:118,C40,119:119)+100</f>
        <v>100</v>
      </c>
      <c r="K40" s="385"/>
      <c r="L40" s="2897"/>
      <c r="M40" s="2891"/>
      <c r="N40" s="2891"/>
      <c r="O40" s="2891"/>
      <c r="P40" s="3533"/>
      <c r="Q40" s="1484" t="str">
        <f t="shared" si="11"/>
        <v>房型</v>
      </c>
      <c r="R40" s="714" t="s">
        <v>21</v>
      </c>
      <c r="S40" s="715">
        <f t="shared" si="12"/>
        <v>100</v>
      </c>
      <c r="T40" s="714" t="s">
        <v>21</v>
      </c>
      <c r="U40" s="715">
        <f t="shared" si="13"/>
        <v>100</v>
      </c>
      <c r="V40" s="714" t="s">
        <v>21</v>
      </c>
      <c r="W40" s="715">
        <f t="shared" si="14"/>
        <v>100</v>
      </c>
      <c r="X40" s="1487"/>
      <c r="Y40" s="3484"/>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7"/>
      <c r="L41" s="2896"/>
      <c r="M41" s="2898"/>
      <c r="N41" s="2898"/>
      <c r="O41" s="2898"/>
      <c r="P41" s="3533"/>
      <c r="Q41" s="716" t="str">
        <f t="shared" si="11"/>
        <v>单套/主力户型建筑面积</v>
      </c>
      <c r="R41" s="717" t="s">
        <v>21</v>
      </c>
      <c r="S41" s="718">
        <f t="shared" si="12"/>
        <v>100</v>
      </c>
      <c r="T41" s="717" t="s">
        <v>21</v>
      </c>
      <c r="U41" s="718">
        <f t="shared" si="13"/>
        <v>100</v>
      </c>
      <c r="V41" s="717" t="s">
        <v>21</v>
      </c>
      <c r="W41" s="718">
        <f t="shared" si="14"/>
        <v>100</v>
      </c>
      <c r="X41" s="719"/>
      <c r="Y41" s="3484"/>
      <c r="Z41" s="720" t="str">
        <f t="shared" si="18"/>
        <v>单套/主力户型建筑面积</v>
      </c>
      <c r="AA41" s="1485">
        <f t="shared" si="15"/>
        <v>1</v>
      </c>
      <c r="AB41" s="1485">
        <f t="shared" si="16"/>
        <v>1</v>
      </c>
      <c r="AC41" s="1485">
        <f t="shared" si="17"/>
        <v>1</v>
      </c>
    </row>
    <row r="42" spans="1:29" ht="15">
      <c r="A42" s="431"/>
      <c r="B42" s="381" t="s">
        <v>2155</v>
      </c>
      <c r="C42" s="2039"/>
      <c r="D42" s="394">
        <v>100</v>
      </c>
      <c r="E42" s="2040"/>
      <c r="F42" s="420">
        <f>SUMIF(122:122,E42,123:123)-SUMIF(122:122,C42,123:123)+100</f>
        <v>100</v>
      </c>
      <c r="G42" s="2039"/>
      <c r="H42" s="394">
        <f>SUMIF(122:122,G42,123:123)-SUMIF(122:122,C42,123:123)+100</f>
        <v>100</v>
      </c>
      <c r="I42" s="2040"/>
      <c r="J42" s="394">
        <f>SUMIF(122:122,I42,123:123)-SUMIF(122:122,C42,123:123)+100</f>
        <v>100</v>
      </c>
      <c r="K42" s="385"/>
      <c r="L42" s="2897"/>
      <c r="M42" s="2891"/>
      <c r="N42" s="2891"/>
      <c r="O42" s="2891"/>
      <c r="P42" s="3533"/>
      <c r="Q42" s="1484" t="str">
        <f t="shared" si="11"/>
        <v>内部装修</v>
      </c>
      <c r="R42" s="714" t="s">
        <v>21</v>
      </c>
      <c r="S42" s="715">
        <f t="shared" si="12"/>
        <v>100</v>
      </c>
      <c r="T42" s="714" t="s">
        <v>21</v>
      </c>
      <c r="U42" s="715">
        <f t="shared" si="13"/>
        <v>100</v>
      </c>
      <c r="V42" s="714" t="s">
        <v>21</v>
      </c>
      <c r="W42" s="715">
        <f t="shared" si="14"/>
        <v>100</v>
      </c>
      <c r="X42" s="1487"/>
      <c r="Y42" s="3484"/>
      <c r="Z42" s="1488" t="str">
        <f t="shared" si="18"/>
        <v>内部装修</v>
      </c>
      <c r="AA42" s="1485">
        <f t="shared" si="15"/>
        <v>1</v>
      </c>
      <c r="AB42" s="1485">
        <f t="shared" si="16"/>
        <v>1</v>
      </c>
      <c r="AC42" s="1485">
        <f t="shared" si="17"/>
        <v>1</v>
      </c>
    </row>
    <row r="43" spans="1:29" ht="15">
      <c r="A43" s="431"/>
      <c r="B43" s="381" t="s">
        <v>2156</v>
      </c>
      <c r="C43" s="2039"/>
      <c r="D43" s="394">
        <v>100</v>
      </c>
      <c r="E43" s="2040"/>
      <c r="F43" s="420">
        <f>SUMIF(124:124,E43,125:125)-SUMIF(124:124,C43,125:125)+100</f>
        <v>100</v>
      </c>
      <c r="G43" s="2039"/>
      <c r="H43" s="394">
        <f>SUMIF(124:124,G43,125:125)-SUMIF(124:124,C43,125:125)+100</f>
        <v>100</v>
      </c>
      <c r="I43" s="2040"/>
      <c r="J43" s="394">
        <f>SUMIF(124:124,I43,125:125)-SUMIF(124:124,C43,125:125)+100</f>
        <v>100</v>
      </c>
      <c r="K43" s="385"/>
      <c r="L43" s="2897"/>
      <c r="M43" s="2891"/>
      <c r="N43" s="2891"/>
      <c r="O43" s="2891"/>
      <c r="P43" s="3533"/>
      <c r="Q43" s="1484" t="str">
        <f t="shared" si="11"/>
        <v>内部装修维护情况</v>
      </c>
      <c r="R43" s="714" t="s">
        <v>21</v>
      </c>
      <c r="S43" s="715">
        <f t="shared" si="12"/>
        <v>100</v>
      </c>
      <c r="T43" s="714" t="s">
        <v>21</v>
      </c>
      <c r="U43" s="715">
        <f t="shared" si="13"/>
        <v>100</v>
      </c>
      <c r="V43" s="714" t="s">
        <v>21</v>
      </c>
      <c r="W43" s="715">
        <f t="shared" si="14"/>
        <v>100</v>
      </c>
      <c r="X43" s="1487"/>
      <c r="Y43" s="3484"/>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7"/>
      <c r="L44" s="2892"/>
      <c r="M44" s="2893"/>
      <c r="N44" s="2893"/>
      <c r="O44" s="2893"/>
      <c r="P44" s="3533"/>
      <c r="Q44" s="1475">
        <f t="shared" si="11"/>
        <v>111</v>
      </c>
      <c r="R44" s="710" t="s">
        <v>21</v>
      </c>
      <c r="S44" s="711">
        <f t="shared" si="12"/>
        <v>100</v>
      </c>
      <c r="T44" s="710" t="s">
        <v>21</v>
      </c>
      <c r="U44" s="711">
        <f t="shared" si="13"/>
        <v>100</v>
      </c>
      <c r="V44" s="710" t="s">
        <v>21</v>
      </c>
      <c r="W44" s="711">
        <f t="shared" si="14"/>
        <v>100</v>
      </c>
      <c r="X44" s="712"/>
      <c r="Y44" s="3484"/>
      <c r="Z44" s="55">
        <f t="shared" si="18"/>
        <v>111</v>
      </c>
      <c r="AA44" s="713">
        <f t="shared" si="15"/>
        <v>1</v>
      </c>
      <c r="AB44" s="713">
        <f t="shared" si="16"/>
        <v>1</v>
      </c>
      <c r="AC44" s="713">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7"/>
      <c r="L45" s="2897"/>
      <c r="M45" s="2891"/>
      <c r="N45" s="2891"/>
      <c r="O45" s="2891"/>
      <c r="P45" s="3533"/>
      <c r="Q45" s="1484">
        <f t="shared" si="11"/>
        <v>111</v>
      </c>
      <c r="R45" s="714" t="s">
        <v>21</v>
      </c>
      <c r="S45" s="715">
        <f t="shared" si="12"/>
        <v>100</v>
      </c>
      <c r="T45" s="714" t="s">
        <v>21</v>
      </c>
      <c r="U45" s="715">
        <f t="shared" si="13"/>
        <v>100</v>
      </c>
      <c r="V45" s="714" t="s">
        <v>21</v>
      </c>
      <c r="W45" s="715">
        <f t="shared" si="14"/>
        <v>100</v>
      </c>
      <c r="X45" s="1487"/>
      <c r="Y45" s="3484"/>
      <c r="Z45" s="1488">
        <f t="shared" si="18"/>
        <v>111</v>
      </c>
      <c r="AA45" s="1485">
        <f t="shared" si="15"/>
        <v>1</v>
      </c>
      <c r="AB45" s="1485">
        <f t="shared" si="16"/>
        <v>1</v>
      </c>
      <c r="AC45" s="1485">
        <f t="shared" si="17"/>
        <v>1</v>
      </c>
    </row>
    <row r="46" spans="1:29" ht="15.75" thickBot="1">
      <c r="A46" s="437"/>
      <c r="B46" s="202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7"/>
      <c r="L46" s="2897"/>
      <c r="M46" s="2891"/>
      <c r="N46" s="2891"/>
      <c r="O46" s="2891"/>
      <c r="P46" s="3534"/>
      <c r="Q46" s="1484">
        <f t="shared" si="11"/>
        <v>111</v>
      </c>
      <c r="R46" s="714" t="s">
        <v>20</v>
      </c>
      <c r="S46" s="715">
        <f t="shared" si="12"/>
        <v>100</v>
      </c>
      <c r="T46" s="714" t="s">
        <v>20</v>
      </c>
      <c r="U46" s="715">
        <f t="shared" si="13"/>
        <v>100</v>
      </c>
      <c r="V46" s="714" t="s">
        <v>20</v>
      </c>
      <c r="W46" s="715">
        <f t="shared" si="14"/>
        <v>100</v>
      </c>
      <c r="X46" s="1487"/>
      <c r="Y46" s="3535"/>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7"/>
      <c r="L47" s="2899"/>
      <c r="M47" s="2900"/>
      <c r="N47" s="2891"/>
      <c r="O47" s="2900"/>
      <c r="P47" s="3465" t="str">
        <f>A47</f>
        <v>成交单价（元/平方米）</v>
      </c>
      <c r="Q47" s="3465"/>
      <c r="R47" s="3531">
        <f>E47</f>
        <v>0</v>
      </c>
      <c r="S47" s="3531"/>
      <c r="T47" s="3531">
        <f>G47</f>
        <v>0</v>
      </c>
      <c r="U47" s="3531"/>
      <c r="V47" s="3531">
        <f>I47</f>
        <v>0</v>
      </c>
      <c r="W47" s="3531"/>
      <c r="X47" s="699"/>
      <c r="Y47" s="721"/>
      <c r="Z47" s="699"/>
      <c r="AA47" s="699"/>
      <c r="AB47" s="699"/>
      <c r="AC47" s="699"/>
    </row>
    <row r="48" spans="1:29" ht="15.75" thickBot="1">
      <c r="A48" s="445" t="s">
        <v>2158</v>
      </c>
      <c r="B48" s="446"/>
      <c r="C48" s="1272" t="e">
        <f>R49</f>
        <v>#DIV/0!</v>
      </c>
      <c r="D48" s="2485" t="s">
        <v>2638</v>
      </c>
      <c r="E48" s="1273" t="e">
        <f>R48</f>
        <v>#DIV/0!</v>
      </c>
      <c r="F48" s="2486"/>
      <c r="G48" s="1272" t="e">
        <f>T48</f>
        <v>#DIV/0!</v>
      </c>
      <c r="H48" s="2486"/>
      <c r="I48" s="1273" t="e">
        <f>V48</f>
        <v>#DIV/0!</v>
      </c>
      <c r="J48" s="2486"/>
      <c r="K48" s="2487">
        <f>F48+H48+J48</f>
        <v>0</v>
      </c>
      <c r="L48" s="2899"/>
      <c r="M48" s="2900"/>
      <c r="N48" s="2900"/>
      <c r="O48" s="2900"/>
      <c r="P48" s="3465" t="str">
        <f>A48</f>
        <v>比较价值（元/平方米）</v>
      </c>
      <c r="Q48" s="3465"/>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699"/>
      <c r="Y48" s="699"/>
      <c r="Z48" s="699"/>
      <c r="AA48" s="699"/>
      <c r="AB48" s="699"/>
      <c r="AC48" s="699"/>
    </row>
    <row r="49" spans="1:29" ht="15.75" thickBot="1">
      <c r="A49" s="449" t="s">
        <v>2159</v>
      </c>
      <c r="B49" s="450"/>
      <c r="C49" s="1274" t="e">
        <f>R49</f>
        <v>#DIV/0!</v>
      </c>
      <c r="D49" s="1275"/>
      <c r="E49" s="1275"/>
      <c r="F49" s="1275"/>
      <c r="G49" s="1275"/>
      <c r="H49" s="1275"/>
      <c r="I49" s="1275"/>
      <c r="J49" s="1275"/>
      <c r="K49" s="2048"/>
      <c r="L49" s="2899"/>
      <c r="M49" s="2900"/>
      <c r="N49" s="2900"/>
      <c r="O49" s="2900"/>
      <c r="P49" s="3500" t="str">
        <f>A49</f>
        <v>估价对象XX用房的比较价值（楼面单价，元/平方米）</v>
      </c>
      <c r="Q49" s="3501"/>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0"/>
    </row>
    <row r="55" spans="1:29" s="459" customFormat="1">
      <c r="A55" s="2903"/>
      <c r="B55" s="2906"/>
      <c r="C55" s="2907"/>
      <c r="D55" s="2903"/>
      <c r="E55" s="2903"/>
      <c r="F55" s="2903"/>
      <c r="G55" s="2903"/>
      <c r="H55" s="2903"/>
      <c r="I55" s="2903"/>
      <c r="J55" s="2903"/>
      <c r="K55" s="2908"/>
      <c r="L55" s="2902"/>
      <c r="M55" s="2903"/>
      <c r="N55" s="2903"/>
      <c r="O55" s="2903"/>
      <c r="P55" s="2050"/>
    </row>
    <row r="56" spans="1:29">
      <c r="A56" s="2900"/>
      <c r="B56" s="2906"/>
      <c r="C56" s="2907"/>
      <c r="D56" s="2900"/>
      <c r="E56" s="2900"/>
      <c r="F56" s="2900"/>
      <c r="G56" s="2900"/>
      <c r="H56" s="2900"/>
      <c r="I56" s="2900"/>
      <c r="J56" s="2900"/>
      <c r="K56" s="2905"/>
      <c r="L56" s="2901"/>
      <c r="M56" s="2900"/>
      <c r="N56" s="2900"/>
      <c r="O56" s="2900"/>
    </row>
    <row r="57" spans="1:29" ht="21.75" thickBot="1">
      <c r="A57" s="703" t="s">
        <v>2163</v>
      </c>
      <c r="B57" s="699"/>
      <c r="C57" s="704"/>
      <c r="D57" s="704"/>
      <c r="E57" s="704"/>
      <c r="F57" s="705"/>
      <c r="G57" s="705"/>
      <c r="H57" s="704"/>
      <c r="I57" s="704"/>
      <c r="J57" s="704"/>
      <c r="K57" s="1050"/>
      <c r="L57" s="1051"/>
      <c r="M57" s="1049"/>
      <c r="N57" s="1049"/>
      <c r="O57" s="1049"/>
      <c r="P57" s="2051"/>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2"/>
      <c r="C59" s="1295">
        <v>100</v>
      </c>
      <c r="D59" s="468"/>
      <c r="E59" s="469"/>
      <c r="F59" s="469"/>
      <c r="G59" s="469"/>
      <c r="H59" s="469"/>
      <c r="I59" s="469"/>
      <c r="J59" s="469"/>
      <c r="K59" s="469"/>
      <c r="L59" s="469"/>
      <c r="M59" s="470"/>
      <c r="N59" s="469"/>
      <c r="O59" s="470"/>
      <c r="P59" s="2053"/>
    </row>
    <row r="60" spans="1:29" s="113" customFormat="1" ht="15.75" thickBot="1">
      <c r="A60" s="472" t="s">
        <v>2165</v>
      </c>
      <c r="B60" s="473"/>
      <c r="C60" s="474"/>
      <c r="D60" s="475"/>
      <c r="E60" s="475"/>
      <c r="F60" s="475"/>
      <c r="G60" s="475"/>
      <c r="H60" s="475"/>
      <c r="I60" s="475"/>
      <c r="J60" s="475"/>
      <c r="K60" s="475"/>
      <c r="L60" s="475"/>
      <c r="M60" s="476"/>
      <c r="N60" s="475"/>
      <c r="O60" s="476"/>
      <c r="P60" s="2053"/>
      <c r="Q60" s="461"/>
    </row>
    <row r="61" spans="1:29" s="113" customFormat="1" ht="15">
      <c r="A61" s="478" t="s">
        <v>2166</v>
      </c>
      <c r="B61" s="467"/>
      <c r="C61" s="479" t="s">
        <v>2167</v>
      </c>
      <c r="D61" s="480"/>
      <c r="E61" s="480"/>
      <c r="F61" s="480"/>
      <c r="G61" s="480"/>
      <c r="H61" s="480"/>
      <c r="I61" s="480"/>
      <c r="J61" s="480"/>
      <c r="K61" s="480"/>
      <c r="L61" s="481"/>
      <c r="M61" s="482"/>
      <c r="N61" s="1041"/>
      <c r="O61" s="1041"/>
      <c r="P61" s="2054"/>
      <c r="Q61" s="461"/>
    </row>
    <row r="62" spans="1:29" s="113" customFormat="1" ht="15.75" thickBot="1">
      <c r="A62" s="478"/>
      <c r="B62" s="467"/>
      <c r="C62" s="468">
        <v>100</v>
      </c>
      <c r="D62" s="469"/>
      <c r="E62" s="469"/>
      <c r="F62" s="469"/>
      <c r="G62" s="469"/>
      <c r="H62" s="469"/>
      <c r="I62" s="469"/>
      <c r="J62" s="469"/>
      <c r="K62" s="469"/>
      <c r="L62" s="469"/>
      <c r="M62" s="471"/>
      <c r="N62" s="1041"/>
      <c r="O62" s="1041"/>
      <c r="P62" s="2053"/>
      <c r="Q62" s="461"/>
    </row>
    <row r="63" spans="1:29">
      <c r="A63" s="484" t="s">
        <v>2168</v>
      </c>
      <c r="B63" s="485" t="s">
        <v>2134</v>
      </c>
      <c r="C63" s="486">
        <f>C9</f>
        <v>0</v>
      </c>
      <c r="D63" s="487"/>
      <c r="E63" s="487"/>
      <c r="F63" s="487"/>
      <c r="G63" s="487"/>
      <c r="H63" s="487"/>
      <c r="I63" s="487"/>
      <c r="J63" s="487"/>
      <c r="K63" s="488"/>
      <c r="L63" s="489"/>
      <c r="M63" s="490"/>
      <c r="N63" s="1042"/>
      <c r="O63" s="1042"/>
      <c r="P63" s="2055"/>
      <c r="Q63" s="461"/>
    </row>
    <row r="64" spans="1:29" ht="15.75" thickBot="1">
      <c r="A64" s="491"/>
      <c r="B64" s="492"/>
      <c r="C64" s="493">
        <v>100</v>
      </c>
      <c r="D64" s="493"/>
      <c r="E64" s="493"/>
      <c r="F64" s="493"/>
      <c r="G64" s="493"/>
      <c r="H64" s="493"/>
      <c r="I64" s="493"/>
      <c r="J64" s="493"/>
      <c r="K64" s="493"/>
      <c r="L64" s="493"/>
      <c r="M64" s="494"/>
      <c r="N64" s="1043"/>
      <c r="O64" s="1043"/>
      <c r="P64" s="2055"/>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5"/>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5"/>
      <c r="Q67" s="461"/>
    </row>
    <row r="68" spans="1:17" ht="15">
      <c r="A68" s="491"/>
      <c r="B68" s="505"/>
      <c r="C68" s="506"/>
      <c r="D68" s="506"/>
      <c r="E68" s="506"/>
      <c r="F68" s="506"/>
      <c r="G68" s="506"/>
      <c r="H68" s="506"/>
      <c r="I68" s="506"/>
      <c r="J68" s="506"/>
      <c r="K68" s="507"/>
      <c r="L68" s="508"/>
      <c r="M68" s="509"/>
      <c r="N68" s="1042"/>
      <c r="O68" s="1042"/>
      <c r="P68" s="205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5"/>
      <c r="Q69" s="461"/>
    </row>
    <row r="70" spans="1:17" s="430" customFormat="1" ht="15.75" thickTop="1">
      <c r="A70" s="510"/>
      <c r="B70" s="495">
        <f>B12</f>
        <v>111</v>
      </c>
      <c r="C70" s="511"/>
      <c r="D70" s="511"/>
      <c r="E70" s="511"/>
      <c r="F70" s="511"/>
      <c r="G70" s="511"/>
      <c r="H70" s="512"/>
      <c r="I70" s="512"/>
      <c r="J70" s="512"/>
      <c r="K70" s="512"/>
      <c r="L70" s="513"/>
      <c r="M70" s="514"/>
      <c r="N70" s="1044"/>
      <c r="O70" s="1044"/>
      <c r="P70" s="2056"/>
      <c r="Q70" s="516"/>
    </row>
    <row r="71" spans="1:17" s="430" customFormat="1" ht="15.75" thickBot="1">
      <c r="A71" s="510"/>
      <c r="B71" s="500"/>
      <c r="C71" s="517"/>
      <c r="D71" s="493"/>
      <c r="E71" s="493"/>
      <c r="F71" s="493"/>
      <c r="G71" s="493"/>
      <c r="H71" s="493"/>
      <c r="I71" s="493"/>
      <c r="J71" s="493"/>
      <c r="K71" s="493"/>
      <c r="L71" s="493"/>
      <c r="M71" s="494"/>
      <c r="N71" s="1043"/>
      <c r="O71" s="1043"/>
      <c r="P71" s="2056"/>
      <c r="Q71" s="516"/>
    </row>
    <row r="72" spans="1:17" s="430" customFormat="1" ht="15.75" thickTop="1">
      <c r="A72" s="510"/>
      <c r="B72" s="495">
        <f>B13</f>
        <v>111</v>
      </c>
      <c r="C72" s="511"/>
      <c r="D72" s="511"/>
      <c r="E72" s="511"/>
      <c r="F72" s="511"/>
      <c r="G72" s="511"/>
      <c r="H72" s="512"/>
      <c r="I72" s="512"/>
      <c r="J72" s="512"/>
      <c r="K72" s="512"/>
      <c r="L72" s="513"/>
      <c r="M72" s="514"/>
      <c r="N72" s="1044"/>
      <c r="O72" s="1044"/>
      <c r="P72" s="2057"/>
      <c r="Q72" s="518"/>
    </row>
    <row r="73" spans="1:17" s="430" customFormat="1" ht="15.75" thickBot="1">
      <c r="A73" s="510"/>
      <c r="B73" s="500"/>
      <c r="C73" s="517"/>
      <c r="D73" s="517"/>
      <c r="E73" s="517"/>
      <c r="F73" s="517"/>
      <c r="G73" s="517"/>
      <c r="H73" s="519"/>
      <c r="I73" s="519"/>
      <c r="J73" s="519"/>
      <c r="K73" s="519"/>
      <c r="L73" s="519"/>
      <c r="M73" s="520"/>
      <c r="N73" s="1044"/>
      <c r="O73" s="1044"/>
      <c r="P73" s="2056"/>
      <c r="Q73" s="516"/>
    </row>
    <row r="74" spans="1:17" s="430" customFormat="1" ht="15.75" thickTop="1">
      <c r="A74" s="510"/>
      <c r="B74" s="503">
        <f>B14</f>
        <v>111</v>
      </c>
      <c r="C74" s="511"/>
      <c r="D74" s="511"/>
      <c r="E74" s="511"/>
      <c r="F74" s="511"/>
      <c r="G74" s="480"/>
      <c r="H74" s="521"/>
      <c r="I74" s="521"/>
      <c r="J74" s="521"/>
      <c r="K74" s="521"/>
      <c r="L74" s="522"/>
      <c r="M74" s="523"/>
      <c r="N74" s="1044"/>
      <c r="O74" s="1044"/>
      <c r="P74" s="2058"/>
      <c r="Q74" s="516"/>
    </row>
    <row r="75" spans="1:17" s="430" customFormat="1" ht="15.75" thickBot="1">
      <c r="A75" s="525"/>
      <c r="B75" s="526"/>
      <c r="C75" s="527"/>
      <c r="D75" s="527"/>
      <c r="E75" s="527"/>
      <c r="F75" s="527"/>
      <c r="G75" s="527"/>
      <c r="H75" s="528"/>
      <c r="I75" s="528"/>
      <c r="J75" s="528"/>
      <c r="K75" s="528"/>
      <c r="L75" s="528"/>
      <c r="M75" s="529"/>
      <c r="N75" s="1044"/>
      <c r="O75" s="1044"/>
      <c r="P75" s="2056"/>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5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5"/>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5"/>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5"/>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3"/>
      <c r="O83" s="1043"/>
      <c r="P83" s="2055"/>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5"/>
      <c r="Q85" s="461"/>
    </row>
    <row r="86" spans="1:17" s="113" customFormat="1" ht="15.75" thickTop="1">
      <c r="A86" s="536"/>
      <c r="B86" s="495" t="s">
        <v>2190</v>
      </c>
      <c r="C86" s="511"/>
      <c r="D86" s="511"/>
      <c r="E86" s="511"/>
      <c r="F86" s="511"/>
      <c r="G86" s="511"/>
      <c r="H86" s="511"/>
      <c r="I86" s="511"/>
      <c r="J86" s="511"/>
      <c r="K86" s="511"/>
      <c r="L86" s="537"/>
      <c r="M86" s="538"/>
      <c r="N86" s="1041"/>
      <c r="O86" s="1041"/>
      <c r="P86" s="205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5"/>
      <c r="Q87" s="461"/>
    </row>
    <row r="88" spans="1:17" s="113" customFormat="1" ht="15.75" thickTop="1">
      <c r="A88" s="536"/>
      <c r="B88" s="495" t="s">
        <v>2191</v>
      </c>
      <c r="C88" s="511"/>
      <c r="D88" s="511"/>
      <c r="E88" s="511"/>
      <c r="F88" s="2060"/>
      <c r="G88" s="511"/>
      <c r="H88" s="511"/>
      <c r="I88" s="511"/>
      <c r="J88" s="511"/>
      <c r="K88" s="511"/>
      <c r="L88" s="511"/>
      <c r="M88" s="538"/>
      <c r="N88" s="1041"/>
      <c r="O88" s="1041"/>
      <c r="P88" s="205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5"/>
      <c r="Q89" s="461"/>
    </row>
    <row r="90" spans="1:17" s="430" customFormat="1" ht="15.75" thickTop="1">
      <c r="A90" s="510"/>
      <c r="B90" s="495">
        <f>B27</f>
        <v>111</v>
      </c>
      <c r="C90" s="511"/>
      <c r="D90" s="511"/>
      <c r="E90" s="511"/>
      <c r="F90" s="511"/>
      <c r="G90" s="511"/>
      <c r="H90" s="512"/>
      <c r="I90" s="512"/>
      <c r="J90" s="512"/>
      <c r="K90" s="512"/>
      <c r="L90" s="513"/>
      <c r="M90" s="514"/>
      <c r="N90" s="1044"/>
      <c r="O90" s="1044"/>
      <c r="P90" s="2056"/>
      <c r="Q90" s="516"/>
    </row>
    <row r="91" spans="1:17" s="430" customFormat="1" ht="15.75" thickBot="1">
      <c r="A91" s="510"/>
      <c r="B91" s="500"/>
      <c r="C91" s="517"/>
      <c r="D91" s="517"/>
      <c r="E91" s="517"/>
      <c r="F91" s="517"/>
      <c r="G91" s="517"/>
      <c r="H91" s="519"/>
      <c r="I91" s="519"/>
      <c r="J91" s="519"/>
      <c r="K91" s="519"/>
      <c r="L91" s="519"/>
      <c r="M91" s="520"/>
      <c r="N91" s="1044"/>
      <c r="O91" s="1044"/>
      <c r="P91" s="2056"/>
      <c r="Q91" s="516"/>
    </row>
    <row r="92" spans="1:17" ht="15.75" thickTop="1">
      <c r="A92" s="491"/>
      <c r="B92" s="495">
        <f>B28</f>
        <v>111</v>
      </c>
      <c r="C92" s="511"/>
      <c r="D92" s="511"/>
      <c r="E92" s="511"/>
      <c r="F92" s="511"/>
      <c r="G92" s="540"/>
      <c r="H92" s="540"/>
      <c r="I92" s="540"/>
      <c r="J92" s="540"/>
      <c r="K92" s="541"/>
      <c r="L92" s="542"/>
      <c r="M92" s="543"/>
      <c r="N92" s="1042"/>
      <c r="O92" s="1042"/>
      <c r="P92" s="2055"/>
      <c r="Q92" s="461"/>
    </row>
    <row r="93" spans="1:17" ht="15.75" thickBot="1">
      <c r="A93" s="491"/>
      <c r="B93" s="500"/>
      <c r="C93" s="517"/>
      <c r="D93" s="493"/>
      <c r="E93" s="493"/>
      <c r="F93" s="493"/>
      <c r="G93" s="493"/>
      <c r="H93" s="493"/>
      <c r="I93" s="493"/>
      <c r="J93" s="493"/>
      <c r="K93" s="493"/>
      <c r="L93" s="493"/>
      <c r="M93" s="494"/>
      <c r="N93" s="1043"/>
      <c r="O93" s="1043"/>
      <c r="P93" s="2055"/>
      <c r="Q93" s="461"/>
    </row>
    <row r="94" spans="1:17" ht="15.75" thickTop="1">
      <c r="A94" s="491"/>
      <c r="B94" s="495">
        <f>B29</f>
        <v>111</v>
      </c>
      <c r="C94" s="511"/>
      <c r="D94" s="511"/>
      <c r="E94" s="511"/>
      <c r="F94" s="511"/>
      <c r="G94" s="540"/>
      <c r="H94" s="540"/>
      <c r="I94" s="540"/>
      <c r="J94" s="540"/>
      <c r="K94" s="541"/>
      <c r="L94" s="542"/>
      <c r="M94" s="543"/>
      <c r="N94" s="1042"/>
      <c r="O94" s="1042"/>
      <c r="P94" s="2055"/>
      <c r="Q94" s="461"/>
    </row>
    <row r="95" spans="1:17" ht="15.75" thickBot="1">
      <c r="A95" s="491"/>
      <c r="B95" s="500"/>
      <c r="C95" s="517"/>
      <c r="D95" s="517"/>
      <c r="E95" s="517"/>
      <c r="F95" s="517"/>
      <c r="G95" s="493"/>
      <c r="H95" s="493"/>
      <c r="I95" s="493"/>
      <c r="J95" s="493"/>
      <c r="K95" s="493"/>
      <c r="L95" s="493"/>
      <c r="M95" s="494"/>
      <c r="N95" s="1043"/>
      <c r="O95" s="1043"/>
      <c r="P95" s="2055"/>
      <c r="Q95" s="461"/>
    </row>
    <row r="96" spans="1:17" ht="15.75" thickTop="1">
      <c r="A96" s="491"/>
      <c r="B96" s="495">
        <f>B30</f>
        <v>111</v>
      </c>
      <c r="C96" s="511"/>
      <c r="D96" s="511"/>
      <c r="E96" s="511"/>
      <c r="F96" s="511"/>
      <c r="G96" s="540"/>
      <c r="H96" s="540"/>
      <c r="I96" s="540"/>
      <c r="J96" s="540"/>
      <c r="K96" s="541"/>
      <c r="L96" s="542"/>
      <c r="M96" s="543"/>
      <c r="N96" s="1042"/>
      <c r="O96" s="1042"/>
      <c r="P96" s="2055"/>
      <c r="Q96" s="461"/>
    </row>
    <row r="97" spans="1:17" ht="15.75" thickBot="1">
      <c r="A97" s="491"/>
      <c r="B97" s="500"/>
      <c r="C97" s="527"/>
      <c r="D97" s="527"/>
      <c r="E97" s="527"/>
      <c r="F97" s="527"/>
      <c r="G97" s="493"/>
      <c r="H97" s="493"/>
      <c r="I97" s="493"/>
      <c r="J97" s="493"/>
      <c r="K97" s="493"/>
      <c r="L97" s="493"/>
      <c r="M97" s="494"/>
      <c r="N97" s="1043"/>
      <c r="O97" s="1043"/>
      <c r="P97" s="2055"/>
      <c r="Q97" s="461"/>
    </row>
    <row r="98" spans="1:17" ht="15.75" thickTop="1">
      <c r="A98" s="491"/>
      <c r="B98" s="503">
        <f>B31</f>
        <v>111</v>
      </c>
      <c r="C98" s="544"/>
      <c r="D98" s="544"/>
      <c r="E98" s="544"/>
      <c r="F98" s="544"/>
      <c r="G98" s="544"/>
      <c r="H98" s="544"/>
      <c r="I98" s="544"/>
      <c r="J98" s="544"/>
      <c r="K98" s="545"/>
      <c r="L98" s="546"/>
      <c r="M98" s="547"/>
      <c r="N98" s="1042"/>
      <c r="O98" s="1042"/>
      <c r="P98" s="2055"/>
      <c r="Q98" s="461"/>
    </row>
    <row r="99" spans="1:17" ht="15.75" thickBot="1">
      <c r="A99" s="2061"/>
      <c r="B99" s="526"/>
      <c r="C99" s="548"/>
      <c r="D99" s="548"/>
      <c r="E99" s="548"/>
      <c r="F99" s="548"/>
      <c r="G99" s="548"/>
      <c r="H99" s="548"/>
      <c r="I99" s="548"/>
      <c r="J99" s="548"/>
      <c r="K99" s="548"/>
      <c r="L99" s="548"/>
      <c r="M99" s="549"/>
      <c r="N99" s="1043"/>
      <c r="O99" s="1043"/>
      <c r="P99" s="2055"/>
      <c r="Q99" s="461"/>
    </row>
    <row r="100" spans="1:17">
      <c r="A100" s="484" t="s">
        <v>2143</v>
      </c>
      <c r="B100" s="485" t="s">
        <v>2192</v>
      </c>
      <c r="C100" s="487"/>
      <c r="D100" s="487"/>
      <c r="E100" s="487"/>
      <c r="F100" s="487"/>
      <c r="G100" s="487"/>
      <c r="H100" s="487"/>
      <c r="I100" s="487"/>
      <c r="J100" s="487"/>
      <c r="K100" s="488"/>
      <c r="L100" s="489"/>
      <c r="M100" s="490"/>
      <c r="N100" s="1042"/>
      <c r="O100" s="1042"/>
      <c r="P100" s="205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5"/>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5"/>
      <c r="Q102" s="461"/>
    </row>
    <row r="103" spans="1:17" s="430" customFormat="1">
      <c r="A103" s="550"/>
      <c r="B103" s="551"/>
      <c r="C103" s="552"/>
      <c r="D103" s="552"/>
      <c r="E103" s="552"/>
      <c r="F103" s="552"/>
      <c r="G103" s="552"/>
      <c r="H103" s="552"/>
      <c r="I103" s="552"/>
      <c r="J103" s="553"/>
      <c r="K103" s="553"/>
      <c r="L103" s="554"/>
      <c r="M103" s="555"/>
      <c r="N103" s="1044"/>
      <c r="O103" s="1044"/>
      <c r="P103" s="2056"/>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6"/>
      <c r="Q104" s="516"/>
    </row>
    <row r="105" spans="1:17" ht="15" thickTop="1">
      <c r="A105" s="556"/>
      <c r="B105" s="495" t="s">
        <v>2194</v>
      </c>
      <c r="C105" s="511"/>
      <c r="D105" s="511"/>
      <c r="E105" s="540"/>
      <c r="F105" s="540"/>
      <c r="G105" s="540"/>
      <c r="H105" s="540"/>
      <c r="I105" s="540"/>
      <c r="J105" s="540"/>
      <c r="K105" s="541"/>
      <c r="L105" s="542"/>
      <c r="M105" s="543"/>
      <c r="N105" s="1042"/>
      <c r="O105" s="1042"/>
      <c r="P105" s="205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5"/>
      <c r="Q106" s="461"/>
    </row>
    <row r="107" spans="1:17" ht="15" thickTop="1">
      <c r="A107" s="556"/>
      <c r="B107" s="495" t="s">
        <v>2195</v>
      </c>
      <c r="C107" s="540"/>
      <c r="D107" s="540"/>
      <c r="E107" s="540"/>
      <c r="F107" s="540"/>
      <c r="G107" s="540"/>
      <c r="H107" s="540"/>
      <c r="I107" s="540"/>
      <c r="J107" s="540"/>
      <c r="K107" s="541"/>
      <c r="L107" s="542"/>
      <c r="M107" s="543"/>
      <c r="N107" s="1042"/>
      <c r="O107" s="1042"/>
      <c r="P107" s="205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5"/>
      <c r="Q108" s="461"/>
    </row>
    <row r="109" spans="1:17" ht="15" thickTop="1">
      <c r="A109" s="556"/>
      <c r="B109" s="495" t="s">
        <v>2196</v>
      </c>
      <c r="C109" s="511"/>
      <c r="D109" s="511"/>
      <c r="E109" s="511"/>
      <c r="F109" s="540"/>
      <c r="G109" s="540"/>
      <c r="H109" s="540"/>
      <c r="I109" s="540"/>
      <c r="J109" s="540"/>
      <c r="K109" s="541"/>
      <c r="L109" s="542"/>
      <c r="M109" s="543"/>
      <c r="N109" s="1042"/>
      <c r="O109" s="1042"/>
      <c r="P109" s="205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5"/>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6"/>
      <c r="Q113" s="516"/>
    </row>
    <row r="114" spans="1:17" ht="15" thickTop="1">
      <c r="A114" s="556"/>
      <c r="B114" s="495" t="s">
        <v>2197</v>
      </c>
      <c r="C114" s="511"/>
      <c r="D114" s="511"/>
      <c r="E114" s="540"/>
      <c r="F114" s="540"/>
      <c r="G114" s="540"/>
      <c r="H114" s="540"/>
      <c r="I114" s="540"/>
      <c r="J114" s="540"/>
      <c r="K114" s="541"/>
      <c r="L114" s="542"/>
      <c r="M114" s="543"/>
      <c r="N114" s="1042"/>
      <c r="O114" s="1042"/>
      <c r="P114" s="205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5"/>
      <c r="Q115" s="461"/>
    </row>
    <row r="116" spans="1:17" ht="15" thickTop="1">
      <c r="A116" s="556"/>
      <c r="B116" s="495" t="s">
        <v>2198</v>
      </c>
      <c r="C116" s="511"/>
      <c r="D116" s="511"/>
      <c r="E116" s="511"/>
      <c r="F116" s="511"/>
      <c r="G116" s="511"/>
      <c r="H116" s="540"/>
      <c r="I116" s="540"/>
      <c r="J116" s="540"/>
      <c r="K116" s="541"/>
      <c r="L116" s="542"/>
      <c r="M116" s="543"/>
      <c r="N116" s="1042"/>
      <c r="O116" s="1042"/>
      <c r="P116" s="205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5"/>
      <c r="Q117" s="461"/>
    </row>
    <row r="118" spans="1:17" ht="15" thickTop="1">
      <c r="A118" s="556"/>
      <c r="B118" s="495" t="s">
        <v>2199</v>
      </c>
      <c r="C118" s="540"/>
      <c r="D118" s="540"/>
      <c r="E118" s="540"/>
      <c r="F118" s="540"/>
      <c r="G118" s="540"/>
      <c r="H118" s="540"/>
      <c r="I118" s="540"/>
      <c r="J118" s="540"/>
      <c r="K118" s="541"/>
      <c r="L118" s="542"/>
      <c r="M118" s="543"/>
      <c r="N118" s="1042"/>
      <c r="O118" s="1042"/>
      <c r="P118" s="205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5"/>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6"/>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6"/>
      <c r="Q121" s="516"/>
    </row>
    <row r="122" spans="1:17" ht="15" thickTop="1">
      <c r="A122" s="556"/>
      <c r="B122" s="495" t="s">
        <v>2200</v>
      </c>
      <c r="C122" s="511"/>
      <c r="D122" s="511"/>
      <c r="E122" s="511"/>
      <c r="F122" s="540"/>
      <c r="G122" s="540"/>
      <c r="H122" s="540"/>
      <c r="I122" s="540"/>
      <c r="J122" s="540"/>
      <c r="K122" s="541"/>
      <c r="L122" s="542"/>
      <c r="M122" s="543"/>
      <c r="N122" s="1042"/>
      <c r="O122" s="1042"/>
      <c r="P122" s="205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5"/>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5"/>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6"/>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6"/>
      <c r="Q127" s="516"/>
    </row>
    <row r="128" spans="1:17" ht="15" thickTop="1">
      <c r="A128" s="556"/>
      <c r="B128" s="495">
        <f>B45</f>
        <v>111</v>
      </c>
      <c r="C128" s="511"/>
      <c r="D128" s="511"/>
      <c r="E128" s="511"/>
      <c r="F128" s="511"/>
      <c r="G128" s="540"/>
      <c r="H128" s="540"/>
      <c r="I128" s="540"/>
      <c r="J128" s="540"/>
      <c r="K128" s="541"/>
      <c r="L128" s="542"/>
      <c r="M128" s="543"/>
      <c r="N128" s="1042"/>
      <c r="O128" s="1042"/>
      <c r="P128" s="2055"/>
      <c r="Q128" s="461"/>
    </row>
    <row r="129" spans="1:17" ht="15.75" thickBot="1">
      <c r="A129" s="491"/>
      <c r="B129" s="500"/>
      <c r="C129" s="517"/>
      <c r="D129" s="517"/>
      <c r="E129" s="517"/>
      <c r="F129" s="517"/>
      <c r="G129" s="493"/>
      <c r="H129" s="493"/>
      <c r="I129" s="493"/>
      <c r="J129" s="493"/>
      <c r="K129" s="493"/>
      <c r="L129" s="493"/>
      <c r="M129" s="494"/>
      <c r="N129" s="1043"/>
      <c r="O129" s="1043"/>
      <c r="P129" s="2055"/>
      <c r="Q129" s="461"/>
    </row>
    <row r="130" spans="1:17" ht="15" thickTop="1">
      <c r="A130" s="556"/>
      <c r="B130" s="503">
        <f>B46</f>
        <v>111</v>
      </c>
      <c r="C130" s="511"/>
      <c r="D130" s="511"/>
      <c r="E130" s="511"/>
      <c r="F130" s="511"/>
      <c r="G130" s="544"/>
      <c r="H130" s="544"/>
      <c r="I130" s="544"/>
      <c r="J130" s="544"/>
      <c r="K130" s="480"/>
      <c r="L130" s="481"/>
      <c r="M130" s="547"/>
      <c r="N130" s="1042"/>
      <c r="O130" s="1042"/>
      <c r="P130" s="2055"/>
      <c r="Q130" s="461"/>
    </row>
    <row r="131" spans="1:17" ht="15.75" thickBot="1">
      <c r="A131" s="2061"/>
      <c r="B131" s="526"/>
      <c r="C131" s="527"/>
      <c r="D131" s="527"/>
      <c r="E131" s="527"/>
      <c r="F131" s="527"/>
      <c r="G131" s="548"/>
      <c r="H131" s="548"/>
      <c r="I131" s="548"/>
      <c r="J131" s="548"/>
      <c r="K131" s="548"/>
      <c r="L131" s="548"/>
      <c r="M131" s="549"/>
      <c r="N131" s="1043"/>
      <c r="O131" s="1043"/>
      <c r="P131" s="2055"/>
      <c r="Q131" s="461"/>
    </row>
    <row r="136" spans="1:17" ht="15" thickBot="1">
      <c r="B136" s="2062" t="s">
        <v>2202</v>
      </c>
    </row>
    <row r="137" spans="1:17" ht="15">
      <c r="B137" s="2063" t="s">
        <v>2203</v>
      </c>
      <c r="C137" s="2064"/>
      <c r="D137" s="2064"/>
      <c r="E137" s="2064"/>
      <c r="F137" s="2064"/>
      <c r="G137" s="2065"/>
      <c r="H137" s="2066"/>
      <c r="I137" s="2067" t="s">
        <v>2204</v>
      </c>
      <c r="J137" s="2064"/>
      <c r="K137" s="2068"/>
    </row>
    <row r="138" spans="1:17" ht="15">
      <c r="B138" s="2069"/>
      <c r="C138" s="142" t="s">
        <v>2205</v>
      </c>
      <c r="D138" s="142" t="s">
        <v>2206</v>
      </c>
      <c r="E138" s="2070" t="s">
        <v>2207</v>
      </c>
      <c r="F138" s="2071" t="s">
        <v>2208</v>
      </c>
      <c r="G138" s="142" t="s">
        <v>2206</v>
      </c>
      <c r="H138" s="143" t="s">
        <v>2207</v>
      </c>
      <c r="I138" s="2072"/>
      <c r="J138" s="142" t="s">
        <v>2209</v>
      </c>
      <c r="K138" s="143" t="s">
        <v>2210</v>
      </c>
    </row>
    <row r="139" spans="1:17" ht="15">
      <c r="B139" s="976">
        <v>6</v>
      </c>
      <c r="C139" s="977">
        <v>96</v>
      </c>
      <c r="D139" s="2073" t="s">
        <v>2211</v>
      </c>
      <c r="E139" s="978">
        <v>100</v>
      </c>
      <c r="F139" s="979">
        <v>102.5</v>
      </c>
      <c r="G139" s="2073" t="s">
        <v>2211</v>
      </c>
      <c r="H139" s="980">
        <v>105</v>
      </c>
      <c r="I139" s="2074" t="s">
        <v>2212</v>
      </c>
      <c r="J139" s="977">
        <v>20</v>
      </c>
      <c r="K139" s="981">
        <f>C145/(J139-2)</f>
        <v>4.0555555555555553E-3</v>
      </c>
    </row>
    <row r="140" spans="1:17" ht="15">
      <c r="B140" s="982">
        <v>5</v>
      </c>
      <c r="C140" s="983">
        <v>100</v>
      </c>
      <c r="D140" s="983"/>
      <c r="E140" s="984"/>
      <c r="F140" s="985">
        <v>102</v>
      </c>
      <c r="G140" s="983"/>
      <c r="H140" s="986"/>
      <c r="I140" s="2075" t="s">
        <v>2213</v>
      </c>
      <c r="J140" s="277">
        <f>ROUNDUP((J139-1)/2,0)</f>
        <v>10</v>
      </c>
      <c r="K140" s="987">
        <v>100</v>
      </c>
    </row>
    <row r="141" spans="1:17" ht="15">
      <c r="B141" s="982">
        <v>4</v>
      </c>
      <c r="C141" s="983">
        <v>102</v>
      </c>
      <c r="D141" s="983"/>
      <c r="E141" s="984"/>
      <c r="F141" s="985">
        <v>101.5</v>
      </c>
      <c r="G141" s="983"/>
      <c r="H141" s="986"/>
      <c r="I141" s="2075" t="s">
        <v>2214</v>
      </c>
      <c r="J141" s="277">
        <v>1</v>
      </c>
      <c r="K141" s="988">
        <f>ROUND(100+(J141-J140)*K139*100,1)</f>
        <v>96.4</v>
      </c>
    </row>
    <row r="142" spans="1:17" ht="15">
      <c r="B142" s="982">
        <v>3</v>
      </c>
      <c r="C142" s="983">
        <v>103</v>
      </c>
      <c r="D142" s="983"/>
      <c r="E142" s="984"/>
      <c r="F142" s="985">
        <v>101</v>
      </c>
      <c r="G142" s="983"/>
      <c r="H142" s="986"/>
      <c r="I142" s="2075" t="s">
        <v>2215</v>
      </c>
      <c r="J142" s="277">
        <f>J139</f>
        <v>20</v>
      </c>
      <c r="K142" s="989">
        <v>95</v>
      </c>
    </row>
    <row r="143" spans="1:17" ht="15">
      <c r="B143" s="982">
        <v>2</v>
      </c>
      <c r="C143" s="983">
        <v>100</v>
      </c>
      <c r="D143" s="983"/>
      <c r="E143" s="984"/>
      <c r="F143" s="985">
        <v>100.5</v>
      </c>
      <c r="G143" s="983"/>
      <c r="H143" s="986"/>
      <c r="I143" s="2075" t="s">
        <v>2216</v>
      </c>
      <c r="J143" s="983">
        <v>15</v>
      </c>
      <c r="K143" s="988">
        <f>ROUND(100+(J143-J140)*K139*100,1)</f>
        <v>102</v>
      </c>
    </row>
    <row r="144" spans="1:17" ht="15">
      <c r="B144" s="982">
        <v>1</v>
      </c>
      <c r="C144" s="983">
        <v>98</v>
      </c>
      <c r="D144" s="2076" t="s">
        <v>2217</v>
      </c>
      <c r="E144" s="984">
        <v>102</v>
      </c>
      <c r="F144" s="990">
        <v>100</v>
      </c>
      <c r="G144" s="2076" t="s">
        <v>2217</v>
      </c>
      <c r="H144" s="986">
        <v>105</v>
      </c>
      <c r="I144" s="2075" t="s">
        <v>2216</v>
      </c>
      <c r="J144" s="983">
        <v>18</v>
      </c>
      <c r="K144" s="988">
        <f>ROUND(100+(J144-J140)*K139*100,1)</f>
        <v>103.2</v>
      </c>
    </row>
    <row r="145" spans="2:11" ht="15.75" thickBot="1">
      <c r="B145" s="2077" t="s">
        <v>2218</v>
      </c>
      <c r="C145" s="991">
        <f>ROUND(MAX(C139:C144)/MIN(C139:C144)-1,3)</f>
        <v>7.2999999999999995E-2</v>
      </c>
      <c r="D145" s="992"/>
      <c r="E145" s="992"/>
      <c r="F145" s="2078" t="s">
        <v>2219</v>
      </c>
      <c r="G145" s="2079"/>
      <c r="H145" s="2080"/>
      <c r="I145" s="2081" t="s">
        <v>2216</v>
      </c>
      <c r="J145" s="993">
        <v>8</v>
      </c>
      <c r="K145" s="994">
        <f>ROUND(100+(J145-J140)*K139*100,1)</f>
        <v>99.2</v>
      </c>
    </row>
    <row r="147" spans="2:11">
      <c r="B147" s="2062" t="s">
        <v>2220</v>
      </c>
    </row>
    <row r="148" spans="2:11">
      <c r="B148" s="2062"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1" t="s">
        <v>2222</v>
      </c>
      <c r="C1" s="1356" t="s">
        <v>2110</v>
      </c>
      <c r="D1" s="1343"/>
      <c r="E1" s="2490"/>
      <c r="F1" s="2012"/>
      <c r="G1" s="1353" t="s">
        <v>2223</v>
      </c>
      <c r="H1" s="1352"/>
      <c r="I1" s="1352"/>
      <c r="J1" s="1352"/>
      <c r="K1" s="1354"/>
      <c r="L1" s="1355"/>
      <c r="M1" s="1356"/>
      <c r="N1" s="1356"/>
      <c r="O1" s="1356"/>
      <c r="P1" s="2082"/>
      <c r="Q1" s="2083"/>
      <c r="R1" s="2083"/>
      <c r="S1" s="2083"/>
      <c r="T1" s="2083"/>
      <c r="U1" s="2083"/>
      <c r="V1" s="2083"/>
      <c r="W1" s="2083"/>
      <c r="X1" s="2083"/>
      <c r="Y1" s="2083"/>
      <c r="Z1" s="2083"/>
      <c r="AA1" s="2083"/>
      <c r="AB1" s="2083"/>
      <c r="AC1" s="2084"/>
    </row>
    <row r="2" spans="1:29" s="358" customFormat="1" ht="28.5" customHeight="1" thickTop="1">
      <c r="A2" s="1339" t="s">
        <v>1907</v>
      </c>
      <c r="B2" s="1276" t="e">
        <f ca="1">IF(C2="——",ROUND(C49*D3/10000,0),ROUND(C49*D3/10000,0)-D2)</f>
        <v>#DIV/0!</v>
      </c>
      <c r="C2" s="2014"/>
      <c r="D2" s="1225" t="e">
        <f ca="1">SUMIF(INDIRECT("'"&amp;F2&amp;"'"&amp;"!A:A"),"承租人权益价值",INDIRECT("'"&amp;F2&amp;"'"&amp;"!c:c"))</f>
        <v>#REF!</v>
      </c>
      <c r="E2" s="2015" t="s">
        <v>1908</v>
      </c>
      <c r="F2" s="2016"/>
      <c r="G2" s="1017"/>
      <c r="H2" s="1017"/>
      <c r="I2" s="1017"/>
      <c r="J2" s="1017"/>
      <c r="K2" s="1017"/>
      <c r="L2" s="2909"/>
      <c r="M2" s="2910"/>
      <c r="N2" s="2910"/>
      <c r="O2" s="2910"/>
      <c r="P2" s="2085"/>
      <c r="Q2" s="1021"/>
      <c r="R2" s="1021"/>
      <c r="S2" s="1021"/>
      <c r="T2" s="1021"/>
      <c r="U2" s="1021"/>
      <c r="V2" s="1021"/>
      <c r="W2" s="1021"/>
      <c r="X2" s="1021"/>
      <c r="Y2" s="1021"/>
      <c r="Z2" s="1021"/>
      <c r="AA2" s="1021"/>
      <c r="AB2" s="1021"/>
      <c r="AC2" s="2086"/>
    </row>
    <row r="3" spans="1:29" s="358" customFormat="1" ht="28.5" customHeight="1" thickBot="1">
      <c r="A3" s="209" t="s">
        <v>1909</v>
      </c>
      <c r="B3" s="566" t="e">
        <f ca="1">IF(C2="——",C49,ROUND(B2*10000/D3,0))</f>
        <v>#DIV/0!</v>
      </c>
      <c r="C3" s="360" t="s">
        <v>2224</v>
      </c>
      <c r="D3" s="359">
        <f>IF(D1="",'数据-汇总表'!E3,SUMIF('数据-汇总表'!$C19:$C33,D1,'数据-汇总表'!$E19:$E33))</f>
        <v>3836.1200000000003</v>
      </c>
      <c r="E3" s="2087"/>
      <c r="F3" s="1018"/>
      <c r="G3" s="1017"/>
      <c r="H3" s="1017"/>
      <c r="I3" s="1017"/>
      <c r="J3" s="1017"/>
      <c r="K3" s="1019"/>
      <c r="L3" s="2909"/>
      <c r="M3" s="2910"/>
      <c r="N3" s="2910"/>
      <c r="O3" s="2910"/>
      <c r="P3" s="2085"/>
      <c r="Q3" s="1021"/>
      <c r="R3" s="1021"/>
      <c r="S3" s="1021"/>
      <c r="T3" s="1021"/>
      <c r="U3" s="1021"/>
      <c r="V3" s="1021"/>
      <c r="W3" s="1021"/>
      <c r="X3" s="1021"/>
      <c r="Y3" s="1021"/>
      <c r="Z3" s="1021"/>
      <c r="AA3" s="1021"/>
      <c r="AB3" s="1021"/>
      <c r="AC3" s="2087"/>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1"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1"/>
      <c r="AC5" s="348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1"/>
      <c r="AC6" s="3487"/>
    </row>
    <row r="7" spans="1:29" s="113" customFormat="1" ht="15.75" thickBot="1">
      <c r="A7" s="368" t="s">
        <v>2128</v>
      </c>
      <c r="B7" s="369"/>
      <c r="C7" s="370">
        <f>'数据-取费表'!B2</f>
        <v>44788</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64"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64"/>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64"/>
      <c r="Q11" s="1475"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6">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64"/>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64"/>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64"/>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71.25">
      <c r="A15" s="399" t="s">
        <v>2139</v>
      </c>
      <c r="B15" s="65" t="s">
        <v>2233</v>
      </c>
      <c r="C15" s="202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536" t="s">
        <v>2140</v>
      </c>
      <c r="Q15" s="1484" t="str">
        <f t="shared" si="6"/>
        <v>商业繁华度</v>
      </c>
      <c r="R15" s="714" t="s">
        <v>17</v>
      </c>
      <c r="S15" s="715">
        <f t="shared" si="0"/>
        <v>100</v>
      </c>
      <c r="T15" s="714" t="s">
        <v>17</v>
      </c>
      <c r="U15" s="715">
        <f t="shared" si="1"/>
        <v>100</v>
      </c>
      <c r="V15" s="714" t="s">
        <v>17</v>
      </c>
      <c r="W15" s="715">
        <f t="shared" si="2"/>
        <v>100</v>
      </c>
      <c r="X15" s="1487"/>
      <c r="Y15" s="3482" t="s">
        <v>2140</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7"/>
      <c r="M16" s="2891"/>
      <c r="N16" s="2891"/>
      <c r="O16" s="2891"/>
      <c r="P16" s="3537"/>
      <c r="Q16" s="1484"/>
      <c r="R16" s="714"/>
      <c r="S16" s="715"/>
      <c r="T16" s="714"/>
      <c r="U16" s="715"/>
      <c r="V16" s="714"/>
      <c r="W16" s="715"/>
      <c r="X16" s="1487"/>
      <c r="Y16" s="3483"/>
      <c r="Z16" s="1488"/>
      <c r="AA16" s="1485">
        <v>1</v>
      </c>
      <c r="AB16" s="1485">
        <v>1</v>
      </c>
      <c r="AC16" s="1485">
        <v>1</v>
      </c>
    </row>
    <row r="17" spans="1:29" ht="85.5">
      <c r="A17" s="387"/>
      <c r="B17" s="410" t="s">
        <v>1704</v>
      </c>
      <c r="C17" s="203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537"/>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2897"/>
      <c r="M18" s="2891"/>
      <c r="N18" s="2891"/>
      <c r="O18" s="2891"/>
      <c r="P18" s="3537"/>
      <c r="Q18" s="1484"/>
      <c r="R18" s="714"/>
      <c r="S18" s="715"/>
      <c r="T18" s="714"/>
      <c r="U18" s="715"/>
      <c r="V18" s="714"/>
      <c r="W18" s="715"/>
      <c r="X18" s="1487"/>
      <c r="Y18" s="3483"/>
      <c r="Z18" s="1488"/>
      <c r="AA18" s="1485">
        <v>1</v>
      </c>
      <c r="AB18" s="1485">
        <v>1</v>
      </c>
      <c r="AC18" s="1485">
        <v>1</v>
      </c>
    </row>
    <row r="19" spans="1:29" ht="42.75">
      <c r="A19" s="387"/>
      <c r="B19" s="410" t="s">
        <v>2234</v>
      </c>
      <c r="C19" s="203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537"/>
      <c r="Q19" s="1484" t="str">
        <f>B19</f>
        <v>公共配套设施</v>
      </c>
      <c r="R19" s="714" t="s">
        <v>17</v>
      </c>
      <c r="S19" s="715">
        <f>F19</f>
        <v>100</v>
      </c>
      <c r="T19" s="714" t="s">
        <v>17</v>
      </c>
      <c r="U19" s="715">
        <f>H19</f>
        <v>100</v>
      </c>
      <c r="V19" s="714" t="s">
        <v>17</v>
      </c>
      <c r="W19" s="715">
        <f>J19</f>
        <v>100</v>
      </c>
      <c r="X19" s="1487"/>
      <c r="Y19" s="3483"/>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2897"/>
      <c r="M20" s="2891"/>
      <c r="N20" s="2891"/>
      <c r="O20" s="2891"/>
      <c r="P20" s="3537"/>
      <c r="Q20" s="1484"/>
      <c r="R20" s="714"/>
      <c r="S20" s="715"/>
      <c r="T20" s="714"/>
      <c r="U20" s="715"/>
      <c r="V20" s="714"/>
      <c r="W20" s="715"/>
      <c r="X20" s="1487"/>
      <c r="Y20" s="3483"/>
      <c r="Z20" s="1488"/>
      <c r="AA20" s="1485">
        <v>1</v>
      </c>
      <c r="AB20" s="1485">
        <v>1</v>
      </c>
      <c r="AC20" s="1485">
        <v>1</v>
      </c>
    </row>
    <row r="21" spans="1:29" ht="28.5">
      <c r="A21" s="387"/>
      <c r="B21" s="1243" t="s">
        <v>2235</v>
      </c>
      <c r="C21" s="203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537"/>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2897"/>
      <c r="M22" s="2891"/>
      <c r="N22" s="2891"/>
      <c r="O22" s="2891"/>
      <c r="P22" s="3537"/>
      <c r="Q22" s="1484"/>
      <c r="R22" s="714"/>
      <c r="S22" s="715"/>
      <c r="T22" s="714"/>
      <c r="U22" s="715"/>
      <c r="V22" s="714"/>
      <c r="W22" s="715"/>
      <c r="X22" s="1487"/>
      <c r="Y22" s="3483"/>
      <c r="Z22" s="1488"/>
      <c r="AA22" s="1485">
        <v>1</v>
      </c>
      <c r="AB22" s="1485">
        <v>1</v>
      </c>
      <c r="AC22" s="1485">
        <v>1</v>
      </c>
    </row>
    <row r="23" spans="1:29" ht="57">
      <c r="A23" s="387"/>
      <c r="B23" s="410" t="s">
        <v>1706</v>
      </c>
      <c r="C23" s="208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537"/>
      <c r="Q23" s="1484" t="str">
        <f>B23</f>
        <v>自然及人文环境</v>
      </c>
      <c r="R23" s="714" t="s">
        <v>17</v>
      </c>
      <c r="S23" s="715">
        <f>F23</f>
        <v>100</v>
      </c>
      <c r="T23" s="714" t="s">
        <v>17</v>
      </c>
      <c r="U23" s="715">
        <f>H23</f>
        <v>100</v>
      </c>
      <c r="V23" s="714" t="s">
        <v>17</v>
      </c>
      <c r="W23" s="715">
        <f>J23</f>
        <v>100</v>
      </c>
      <c r="X23" s="1487"/>
      <c r="Y23" s="3483"/>
      <c r="Z23" s="1488" t="str">
        <f>Q23</f>
        <v>自然及人文环境</v>
      </c>
      <c r="AA23" s="1485">
        <f t="shared" si="3"/>
        <v>1</v>
      </c>
      <c r="AB23" s="1485">
        <f t="shared" si="4"/>
        <v>1</v>
      </c>
      <c r="AC23" s="1485">
        <f t="shared" si="5"/>
        <v>1</v>
      </c>
    </row>
    <row r="24" spans="1:29" ht="15">
      <c r="A24" s="387"/>
      <c r="B24" s="415"/>
      <c r="C24" s="406"/>
      <c r="D24" s="407"/>
      <c r="E24" s="2031"/>
      <c r="F24" s="408"/>
      <c r="G24" s="2030"/>
      <c r="H24" s="407"/>
      <c r="I24" s="2031"/>
      <c r="J24" s="407"/>
      <c r="K24" s="572"/>
      <c r="L24" s="2897"/>
      <c r="M24" s="2891"/>
      <c r="N24" s="2891"/>
      <c r="O24" s="2891"/>
      <c r="P24" s="3537"/>
      <c r="Q24" s="1484"/>
      <c r="R24" s="714"/>
      <c r="S24" s="715"/>
      <c r="T24" s="714"/>
      <c r="U24" s="715"/>
      <c r="V24" s="714"/>
      <c r="W24" s="715"/>
      <c r="X24" s="1487"/>
      <c r="Y24" s="3483"/>
      <c r="Z24" s="1488"/>
      <c r="AA24" s="1485">
        <v>1</v>
      </c>
      <c r="AB24" s="1485">
        <v>1</v>
      </c>
      <c r="AC24" s="1485">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537"/>
      <c r="Q25" s="1484" t="str">
        <f t="shared" ref="Q25:Q46" si="11">B25</f>
        <v>临街状况</v>
      </c>
      <c r="R25" s="714" t="s">
        <v>17</v>
      </c>
      <c r="S25" s="715">
        <f>F25</f>
        <v>100</v>
      </c>
      <c r="T25" s="714" t="s">
        <v>17</v>
      </c>
      <c r="U25" s="715">
        <f>H25</f>
        <v>100</v>
      </c>
      <c r="V25" s="714" t="s">
        <v>17</v>
      </c>
      <c r="W25" s="715">
        <f>J25</f>
        <v>100</v>
      </c>
      <c r="X25" s="1487"/>
      <c r="Y25" s="3483"/>
      <c r="Z25" s="1488" t="str">
        <f>Q25</f>
        <v>临街状况</v>
      </c>
      <c r="AA25" s="1485">
        <f t="shared" si="3"/>
        <v>1</v>
      </c>
      <c r="AB25" s="1485">
        <f t="shared" si="4"/>
        <v>1</v>
      </c>
      <c r="AC25" s="1485">
        <f t="shared" si="5"/>
        <v>1</v>
      </c>
    </row>
    <row r="26" spans="1:29" ht="15">
      <c r="A26" s="387"/>
      <c r="B26" s="1245" t="s">
        <v>2237</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537"/>
      <c r="Q26" s="1484" t="str">
        <f t="shared" si="11"/>
        <v>平面位置/可视性</v>
      </c>
      <c r="R26" s="714" t="s">
        <v>17</v>
      </c>
      <c r="S26" s="715">
        <f>F26</f>
        <v>100</v>
      </c>
      <c r="T26" s="714" t="s">
        <v>17</v>
      </c>
      <c r="U26" s="715">
        <f>H26</f>
        <v>100</v>
      </c>
      <c r="V26" s="714" t="s">
        <v>17</v>
      </c>
      <c r="W26" s="715">
        <f>J26</f>
        <v>100</v>
      </c>
      <c r="X26" s="1487"/>
      <c r="Y26" s="3483"/>
      <c r="Z26" s="1488" t="str">
        <f>Q26</f>
        <v>平面位置/可视性</v>
      </c>
      <c r="AA26" s="1485">
        <f t="shared" si="3"/>
        <v>1</v>
      </c>
      <c r="AB26" s="1485">
        <f t="shared" si="4"/>
        <v>1</v>
      </c>
      <c r="AC26" s="1485">
        <f t="shared" si="5"/>
        <v>1</v>
      </c>
    </row>
    <row r="27" spans="1:29" s="113" customFormat="1" ht="15">
      <c r="A27" s="390"/>
      <c r="B27" s="410" t="s">
        <v>2238</v>
      </c>
      <c r="C27" s="2089"/>
      <c r="D27" s="421">
        <v>100</v>
      </c>
      <c r="E27" s="2089"/>
      <c r="F27" s="423">
        <f>SUMIF(90:90,E27,91:91)-SUMIF(90:90,C27,91:91)+100</f>
        <v>100</v>
      </c>
      <c r="G27" s="2089"/>
      <c r="H27" s="421">
        <f>SUMIF(90:90,G27,91:91)-SUMIF(90:90,C27,91:91)+100</f>
        <v>100</v>
      </c>
      <c r="I27" s="2089"/>
      <c r="J27" s="421">
        <f>SUMIF(90:90,I27,91:91)-SUMIF(90:90,C27,91:91)+100</f>
        <v>100</v>
      </c>
      <c r="K27" s="569"/>
      <c r="L27" s="2892"/>
      <c r="M27" s="2893"/>
      <c r="N27" s="2893"/>
      <c r="O27" s="2893"/>
      <c r="P27" s="3537"/>
      <c r="Q27" s="1475" t="str">
        <f t="shared" si="11"/>
        <v>人流量</v>
      </c>
      <c r="R27" s="710" t="s">
        <v>17</v>
      </c>
      <c r="S27" s="711">
        <f>F27</f>
        <v>100</v>
      </c>
      <c r="T27" s="710" t="s">
        <v>17</v>
      </c>
      <c r="U27" s="711">
        <f>H27</f>
        <v>100</v>
      </c>
      <c r="V27" s="710" t="s">
        <v>17</v>
      </c>
      <c r="W27" s="711">
        <f>J27</f>
        <v>100</v>
      </c>
      <c r="X27" s="712"/>
      <c r="Y27" s="3483"/>
      <c r="Z27" s="55" t="str">
        <f>Q27</f>
        <v>人流量</v>
      </c>
      <c r="AA27" s="1485">
        <f>D27/F27</f>
        <v>1</v>
      </c>
      <c r="AB27" s="1485">
        <f>D27/H27</f>
        <v>1</v>
      </c>
      <c r="AC27" s="1485">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537"/>
      <c r="Q28" s="1484" t="str">
        <f t="shared" si="11"/>
        <v>楼层</v>
      </c>
      <c r="R28" s="714" t="s">
        <v>17</v>
      </c>
      <c r="S28" s="715">
        <f t="shared" ref="S28:S46" si="12">F28</f>
        <v>100</v>
      </c>
      <c r="T28" s="714" t="s">
        <v>17</v>
      </c>
      <c r="U28" s="715">
        <f t="shared" ref="U28:U46" si="13">H28</f>
        <v>100</v>
      </c>
      <c r="V28" s="714" t="s">
        <v>17</v>
      </c>
      <c r="W28" s="715">
        <f t="shared" ref="W28:W46" si="14">J28</f>
        <v>100</v>
      </c>
      <c r="X28" s="1487"/>
      <c r="Y28" s="3483"/>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537"/>
      <c r="Q29" s="1484">
        <f t="shared" si="11"/>
        <v>111</v>
      </c>
      <c r="R29" s="714" t="s">
        <v>17</v>
      </c>
      <c r="S29" s="715">
        <f t="shared" si="12"/>
        <v>100</v>
      </c>
      <c r="T29" s="714" t="s">
        <v>17</v>
      </c>
      <c r="U29" s="715">
        <f t="shared" si="13"/>
        <v>100</v>
      </c>
      <c r="V29" s="714" t="s">
        <v>17</v>
      </c>
      <c r="W29" s="715">
        <f t="shared" si="14"/>
        <v>100</v>
      </c>
      <c r="X29" s="1487"/>
      <c r="Y29" s="3483"/>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537"/>
      <c r="Q30" s="1484">
        <f t="shared" si="11"/>
        <v>111</v>
      </c>
      <c r="R30" s="714" t="s">
        <v>17</v>
      </c>
      <c r="S30" s="715">
        <f t="shared" si="12"/>
        <v>100</v>
      </c>
      <c r="T30" s="714" t="s">
        <v>17</v>
      </c>
      <c r="U30" s="715">
        <f t="shared" si="13"/>
        <v>100</v>
      </c>
      <c r="V30" s="714" t="s">
        <v>17</v>
      </c>
      <c r="W30" s="715">
        <f t="shared" si="14"/>
        <v>100</v>
      </c>
      <c r="X30" s="1487"/>
      <c r="Y30" s="3483"/>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537"/>
      <c r="Q31" s="1484">
        <f t="shared" si="11"/>
        <v>111</v>
      </c>
      <c r="R31" s="714" t="s">
        <v>17</v>
      </c>
      <c r="S31" s="715">
        <f t="shared" si="12"/>
        <v>100</v>
      </c>
      <c r="T31" s="714" t="s">
        <v>17</v>
      </c>
      <c r="U31" s="715">
        <f t="shared" si="13"/>
        <v>100</v>
      </c>
      <c r="V31" s="714" t="s">
        <v>17</v>
      </c>
      <c r="W31" s="715">
        <f t="shared" si="14"/>
        <v>100</v>
      </c>
      <c r="X31" s="1487"/>
      <c r="Y31" s="3483"/>
      <c r="Z31" s="1488">
        <f t="shared" si="15"/>
        <v>111</v>
      </c>
      <c r="AA31" s="1485">
        <f t="shared" si="3"/>
        <v>1</v>
      </c>
      <c r="AB31" s="1485">
        <f t="shared" si="4"/>
        <v>1</v>
      </c>
      <c r="AC31" s="1485">
        <f t="shared" si="5"/>
        <v>1</v>
      </c>
    </row>
    <row r="32" spans="1:29" ht="15">
      <c r="A32" s="399" t="s">
        <v>2143</v>
      </c>
      <c r="B32" s="67" t="s">
        <v>2240</v>
      </c>
      <c r="C32" s="2043"/>
      <c r="D32" s="426">
        <v>100</v>
      </c>
      <c r="E32" s="2043"/>
      <c r="F32" s="420">
        <f>SUMIF(100:100,E32,101:101)-SUMIF(100:100,C32,101:101)+100</f>
        <v>100</v>
      </c>
      <c r="G32" s="2043"/>
      <c r="H32" s="394">
        <f>SUMIF(100:100,G32,101:101)-SUMIF(100:100,C32,101:101)+100</f>
        <v>100</v>
      </c>
      <c r="I32" s="2043"/>
      <c r="J32" s="426">
        <f>SUMIF(100:100,I32,101:101)-SUMIF(100:100,C32,101:101)+100</f>
        <v>100</v>
      </c>
      <c r="K32" s="569"/>
      <c r="L32" s="2897"/>
      <c r="M32" s="2891"/>
      <c r="N32" s="2891"/>
      <c r="O32" s="2891"/>
      <c r="P32" s="3532" t="s">
        <v>2145</v>
      </c>
      <c r="Q32" s="1484" t="str">
        <f t="shared" si="11"/>
        <v>商业类型</v>
      </c>
      <c r="R32" s="714" t="s">
        <v>17</v>
      </c>
      <c r="S32" s="715">
        <f t="shared" si="12"/>
        <v>100</v>
      </c>
      <c r="T32" s="714" t="s">
        <v>17</v>
      </c>
      <c r="U32" s="715">
        <f t="shared" si="13"/>
        <v>100</v>
      </c>
      <c r="V32" s="714" t="s">
        <v>17</v>
      </c>
      <c r="W32" s="715">
        <f t="shared" si="14"/>
        <v>100</v>
      </c>
      <c r="X32" s="1487"/>
      <c r="Y32" s="3484" t="s">
        <v>2145</v>
      </c>
      <c r="Z32" s="1488" t="str">
        <f t="shared" si="15"/>
        <v>商业类型</v>
      </c>
      <c r="AA32" s="1485">
        <f t="shared" si="3"/>
        <v>1</v>
      </c>
      <c r="AB32" s="1485">
        <f t="shared" si="4"/>
        <v>1</v>
      </c>
      <c r="AC32" s="1485">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533"/>
      <c r="Q33" s="716" t="str">
        <f t="shared" si="11"/>
        <v>项目建筑规模</v>
      </c>
      <c r="R33" s="717" t="s">
        <v>17</v>
      </c>
      <c r="S33" s="718" t="e">
        <f t="shared" si="12"/>
        <v>#N/A</v>
      </c>
      <c r="T33" s="717" t="s">
        <v>17</v>
      </c>
      <c r="U33" s="718" t="e">
        <f t="shared" si="13"/>
        <v>#N/A</v>
      </c>
      <c r="V33" s="717" t="s">
        <v>17</v>
      </c>
      <c r="W33" s="718" t="e">
        <f t="shared" si="14"/>
        <v>#N/A</v>
      </c>
      <c r="X33" s="719"/>
      <c r="Y33" s="3484"/>
      <c r="Z33" s="720" t="str">
        <f t="shared" si="15"/>
        <v>项目建筑规模</v>
      </c>
      <c r="AA33" s="1485" t="e">
        <f t="shared" si="3"/>
        <v>#N/A</v>
      </c>
      <c r="AB33" s="1485" t="e">
        <f t="shared" si="4"/>
        <v>#N/A</v>
      </c>
      <c r="AC33" s="1485" t="e">
        <f t="shared" si="5"/>
        <v>#N/A</v>
      </c>
    </row>
    <row r="34" spans="1:29" ht="15">
      <c r="A34" s="431"/>
      <c r="B34" s="381" t="s">
        <v>2147</v>
      </c>
      <c r="C34" s="2045"/>
      <c r="D34" s="394">
        <v>100</v>
      </c>
      <c r="E34" s="2045"/>
      <c r="F34" s="420">
        <f>SUMIF(105:105,E34,106:106)-SUMIF(105:105,C34,106:106)+100</f>
        <v>100</v>
      </c>
      <c r="G34" s="2045"/>
      <c r="H34" s="394">
        <f>SUMIF(105:105,G34,106:106)-SUMIF(105:105,C34,106:106)+100</f>
        <v>100</v>
      </c>
      <c r="I34" s="2045"/>
      <c r="J34" s="394">
        <f>SUMIF(105:105,I34,106:106)-SUMIF(105:105,C34,106:106)+100</f>
        <v>100</v>
      </c>
      <c r="K34" s="569"/>
      <c r="L34" s="2897"/>
      <c r="M34" s="2891"/>
      <c r="N34" s="2891"/>
      <c r="O34" s="2891"/>
      <c r="P34" s="3533"/>
      <c r="Q34" s="1484" t="str">
        <f t="shared" si="11"/>
        <v>建筑结构</v>
      </c>
      <c r="R34" s="714" t="s">
        <v>17</v>
      </c>
      <c r="S34" s="715">
        <f t="shared" si="12"/>
        <v>100</v>
      </c>
      <c r="T34" s="714" t="s">
        <v>17</v>
      </c>
      <c r="U34" s="715">
        <f t="shared" si="13"/>
        <v>100</v>
      </c>
      <c r="V34" s="714" t="s">
        <v>17</v>
      </c>
      <c r="W34" s="715">
        <f t="shared" si="14"/>
        <v>100</v>
      </c>
      <c r="X34" s="1487"/>
      <c r="Y34" s="3484"/>
      <c r="Z34" s="1488" t="str">
        <f t="shared" si="15"/>
        <v>建筑结构</v>
      </c>
      <c r="AA34" s="1485">
        <f t="shared" si="3"/>
        <v>1</v>
      </c>
      <c r="AB34" s="1485">
        <f t="shared" si="4"/>
        <v>1</v>
      </c>
      <c r="AC34" s="1485">
        <f t="shared" si="5"/>
        <v>1</v>
      </c>
    </row>
    <row r="35" spans="1:29" ht="15">
      <c r="A35" s="431"/>
      <c r="B35" s="381" t="s">
        <v>2241</v>
      </c>
      <c r="C35" s="2039"/>
      <c r="D35" s="394">
        <v>100</v>
      </c>
      <c r="E35" s="2039"/>
      <c r="F35" s="420">
        <f>SUMIF(107:107,E35,108:108)-SUMIF(107:107,C35,108:108)+100</f>
        <v>100</v>
      </c>
      <c r="G35" s="2039"/>
      <c r="H35" s="394">
        <f>SUMIF(107:107,G35,108:108)-SUMIF(107:107,C35,108:108)+100</f>
        <v>100</v>
      </c>
      <c r="I35" s="2039"/>
      <c r="J35" s="394">
        <f>SUMIF(107:107,I35,108:108)-SUMIF(107:107,C35,108:108)+100</f>
        <v>100</v>
      </c>
      <c r="K35" s="569"/>
      <c r="L35" s="2897"/>
      <c r="M35" s="2891"/>
      <c r="N35" s="2891"/>
      <c r="O35" s="2891"/>
      <c r="P35" s="3533"/>
      <c r="Q35" s="1484" t="str">
        <f t="shared" si="11"/>
        <v>公共部分装修</v>
      </c>
      <c r="R35" s="714" t="s">
        <v>17</v>
      </c>
      <c r="S35" s="715">
        <f t="shared" si="12"/>
        <v>100</v>
      </c>
      <c r="T35" s="714" t="s">
        <v>17</v>
      </c>
      <c r="U35" s="715">
        <f t="shared" si="13"/>
        <v>100</v>
      </c>
      <c r="V35" s="714" t="s">
        <v>17</v>
      </c>
      <c r="W35" s="715">
        <f t="shared" si="14"/>
        <v>100</v>
      </c>
      <c r="X35" s="1487"/>
      <c r="Y35" s="3484"/>
      <c r="Z35" s="1488" t="str">
        <f t="shared" si="15"/>
        <v>公共部分装修</v>
      </c>
      <c r="AA35" s="1485">
        <f t="shared" si="3"/>
        <v>1</v>
      </c>
      <c r="AB35" s="1485">
        <f t="shared" si="4"/>
        <v>1</v>
      </c>
      <c r="AC35" s="1485">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533"/>
      <c r="Q36" s="1484" t="str">
        <f t="shared" si="11"/>
        <v>成新度</v>
      </c>
      <c r="R36" s="714" t="s">
        <v>17</v>
      </c>
      <c r="S36" s="715" t="e">
        <f t="shared" si="12"/>
        <v>#N/A</v>
      </c>
      <c r="T36" s="714" t="s">
        <v>17</v>
      </c>
      <c r="U36" s="715" t="e">
        <f t="shared" si="13"/>
        <v>#N/A</v>
      </c>
      <c r="V36" s="714" t="s">
        <v>17</v>
      </c>
      <c r="W36" s="715" t="e">
        <f t="shared" si="14"/>
        <v>#N/A</v>
      </c>
      <c r="X36" s="1487"/>
      <c r="Y36" s="3484"/>
      <c r="Z36" s="1488" t="str">
        <f t="shared" si="15"/>
        <v>成新度</v>
      </c>
      <c r="AA36" s="1485" t="e">
        <f t="shared" si="3"/>
        <v>#N/A</v>
      </c>
      <c r="AB36" s="1485" t="e">
        <f t="shared" si="4"/>
        <v>#N/A</v>
      </c>
      <c r="AC36" s="1485" t="e">
        <f t="shared" si="5"/>
        <v>#N/A</v>
      </c>
    </row>
    <row r="37" spans="1:29" s="113" customFormat="1" ht="15">
      <c r="A37" s="432"/>
      <c r="B37" s="381" t="s">
        <v>2243</v>
      </c>
      <c r="C37" s="2039"/>
      <c r="D37" s="132">
        <v>100</v>
      </c>
      <c r="E37" s="2039"/>
      <c r="F37" s="420">
        <f>SUMIF(112:112,E37,113:113)-SUMIF(112:112,C37,113:113)+100</f>
        <v>100</v>
      </c>
      <c r="G37" s="2039"/>
      <c r="H37" s="394">
        <f>SUMIF(112:112,G37,113:113)-SUMIF(112:112,C37,113:113)+100</f>
        <v>100</v>
      </c>
      <c r="I37" s="2039"/>
      <c r="J37" s="394">
        <f>SUMIF(112:112,I37,113:113)-SUMIF(112:112,C37,113:113)+100</f>
        <v>100</v>
      </c>
      <c r="K37" s="569"/>
      <c r="L37" s="2892"/>
      <c r="M37" s="2893"/>
      <c r="N37" s="2893"/>
      <c r="O37" s="2893"/>
      <c r="P37" s="3533"/>
      <c r="Q37" s="1475" t="str">
        <f t="shared" si="11"/>
        <v>市政基础设施</v>
      </c>
      <c r="R37" s="710" t="s">
        <v>17</v>
      </c>
      <c r="S37" s="711">
        <f t="shared" si="12"/>
        <v>100</v>
      </c>
      <c r="T37" s="710" t="s">
        <v>17</v>
      </c>
      <c r="U37" s="711">
        <f t="shared" si="13"/>
        <v>100</v>
      </c>
      <c r="V37" s="710" t="s">
        <v>17</v>
      </c>
      <c r="W37" s="711">
        <f t="shared" si="14"/>
        <v>100</v>
      </c>
      <c r="X37" s="712"/>
      <c r="Y37" s="3484"/>
      <c r="Z37" s="55" t="str">
        <f t="shared" si="15"/>
        <v>市政基础设施</v>
      </c>
      <c r="AA37" s="713">
        <f t="shared" si="3"/>
        <v>1</v>
      </c>
      <c r="AB37" s="713">
        <f t="shared" si="4"/>
        <v>1</v>
      </c>
      <c r="AC37" s="713">
        <f t="shared" si="5"/>
        <v>1</v>
      </c>
    </row>
    <row r="38" spans="1:29" ht="15">
      <c r="A38" s="431"/>
      <c r="B38" s="381" t="s">
        <v>2244</v>
      </c>
      <c r="C38" s="2039"/>
      <c r="D38" s="394">
        <v>100</v>
      </c>
      <c r="E38" s="2039"/>
      <c r="F38" s="420">
        <f>SUMIF(114:114,E38,115:115)-SUMIF(114:114,C38,115:115)+100</f>
        <v>100</v>
      </c>
      <c r="G38" s="2039"/>
      <c r="H38" s="394">
        <f>SUMIF(114:114,G38,115:115)-SUMIF(114:114,C38,115:115)+100</f>
        <v>100</v>
      </c>
      <c r="I38" s="2039"/>
      <c r="J38" s="394">
        <f>SUMIF(114:114,I38,115:115)-SUMIF(114:114,C38,115:115)+100</f>
        <v>100</v>
      </c>
      <c r="K38" s="569"/>
      <c r="L38" s="2897"/>
      <c r="M38" s="2891"/>
      <c r="N38" s="2891"/>
      <c r="O38" s="2891"/>
      <c r="P38" s="3533" t="s">
        <v>2145</v>
      </c>
      <c r="Q38" s="1484" t="str">
        <f t="shared" si="11"/>
        <v>业态</v>
      </c>
      <c r="R38" s="714" t="s">
        <v>17</v>
      </c>
      <c r="S38" s="715">
        <f t="shared" si="12"/>
        <v>100</v>
      </c>
      <c r="T38" s="714" t="s">
        <v>17</v>
      </c>
      <c r="U38" s="715">
        <f t="shared" si="13"/>
        <v>100</v>
      </c>
      <c r="V38" s="714" t="s">
        <v>17</v>
      </c>
      <c r="W38" s="715">
        <f t="shared" si="14"/>
        <v>100</v>
      </c>
      <c r="X38" s="1487"/>
      <c r="Y38" s="3484" t="s">
        <v>2145</v>
      </c>
      <c r="Z38" s="1488" t="str">
        <f t="shared" si="15"/>
        <v>业态</v>
      </c>
      <c r="AA38" s="1485">
        <f t="shared" si="3"/>
        <v>1</v>
      </c>
      <c r="AB38" s="1485">
        <f t="shared" si="4"/>
        <v>1</v>
      </c>
      <c r="AC38" s="1485">
        <f t="shared" si="5"/>
        <v>1</v>
      </c>
    </row>
    <row r="39" spans="1:29" ht="15">
      <c r="A39" s="431"/>
      <c r="B39" s="381" t="s">
        <v>2245</v>
      </c>
      <c r="C39" s="2039"/>
      <c r="D39" s="394">
        <v>100</v>
      </c>
      <c r="E39" s="2039"/>
      <c r="F39" s="420">
        <f>SUMIF(116:116,E39,117:117)-SUMIF(116:116,C39,117:117)+100</f>
        <v>100</v>
      </c>
      <c r="G39" s="2039"/>
      <c r="H39" s="394">
        <f>SUMIF(116:116,G39,117:117)-SUMIF(116:116,C39,117:117)+100</f>
        <v>100</v>
      </c>
      <c r="I39" s="2039"/>
      <c r="J39" s="394">
        <f>SUMIF(116:116,I39,117:117)-SUMIF(116:116,C39,117:117)+100</f>
        <v>100</v>
      </c>
      <c r="K39" s="569"/>
      <c r="L39" s="2897"/>
      <c r="M39" s="2891"/>
      <c r="N39" s="2891"/>
      <c r="O39" s="2891"/>
      <c r="P39" s="3533"/>
      <c r="Q39" s="1484" t="str">
        <f t="shared" si="11"/>
        <v>层高</v>
      </c>
      <c r="R39" s="714" t="s">
        <v>17</v>
      </c>
      <c r="S39" s="715">
        <f t="shared" si="12"/>
        <v>100</v>
      </c>
      <c r="T39" s="714" t="s">
        <v>17</v>
      </c>
      <c r="U39" s="715">
        <f t="shared" si="13"/>
        <v>100</v>
      </c>
      <c r="V39" s="714" t="s">
        <v>17</v>
      </c>
      <c r="W39" s="715">
        <f t="shared" si="14"/>
        <v>100</v>
      </c>
      <c r="X39" s="1487"/>
      <c r="Y39" s="3484"/>
      <c r="Z39" s="1488" t="str">
        <f t="shared" si="15"/>
        <v>层高</v>
      </c>
      <c r="AA39" s="1485">
        <f t="shared" si="3"/>
        <v>1</v>
      </c>
      <c r="AB39" s="1485">
        <f t="shared" si="4"/>
        <v>1</v>
      </c>
      <c r="AC39" s="1485">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533"/>
      <c r="Q40" s="1484" t="str">
        <f t="shared" si="11"/>
        <v>单套建筑面积</v>
      </c>
      <c r="R40" s="714" t="s">
        <v>17</v>
      </c>
      <c r="S40" s="715">
        <f t="shared" si="12"/>
        <v>100</v>
      </c>
      <c r="T40" s="714" t="s">
        <v>17</v>
      </c>
      <c r="U40" s="715">
        <f t="shared" si="13"/>
        <v>100</v>
      </c>
      <c r="V40" s="714" t="s">
        <v>17</v>
      </c>
      <c r="W40" s="715">
        <f t="shared" si="14"/>
        <v>100</v>
      </c>
      <c r="X40" s="1487"/>
      <c r="Y40" s="3484"/>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533"/>
      <c r="Q41" s="716" t="str">
        <f t="shared" si="11"/>
        <v>进深比</v>
      </c>
      <c r="R41" s="717" t="s">
        <v>17</v>
      </c>
      <c r="S41" s="718">
        <f t="shared" si="12"/>
        <v>100</v>
      </c>
      <c r="T41" s="717" t="s">
        <v>17</v>
      </c>
      <c r="U41" s="718">
        <f t="shared" si="13"/>
        <v>100</v>
      </c>
      <c r="V41" s="717" t="s">
        <v>17</v>
      </c>
      <c r="W41" s="718">
        <f t="shared" si="14"/>
        <v>100</v>
      </c>
      <c r="X41" s="719"/>
      <c r="Y41" s="3484"/>
      <c r="Z41" s="720" t="str">
        <f t="shared" si="15"/>
        <v>进深比</v>
      </c>
      <c r="AA41" s="1485">
        <f t="shared" si="3"/>
        <v>1</v>
      </c>
      <c r="AB41" s="1485">
        <f t="shared" si="4"/>
        <v>1</v>
      </c>
      <c r="AC41" s="1485">
        <f t="shared" si="5"/>
        <v>1</v>
      </c>
    </row>
    <row r="42" spans="1:29" ht="15">
      <c r="A42" s="431"/>
      <c r="B42" s="381" t="s">
        <v>2248</v>
      </c>
      <c r="C42" s="2039"/>
      <c r="D42" s="394">
        <v>100</v>
      </c>
      <c r="E42" s="2039"/>
      <c r="F42" s="420">
        <f>SUMIF(122:122,E42,123:123)-SUMIF(122:122,C42,123:123)+100</f>
        <v>100</v>
      </c>
      <c r="G42" s="2039"/>
      <c r="H42" s="394">
        <f>SUMIF(122:122,G42,123:123)-SUMIF(122:122,C42,123:123)+100</f>
        <v>100</v>
      </c>
      <c r="I42" s="2039"/>
      <c r="J42" s="394">
        <f>SUMIF(122:122,I42,123:123)-SUMIF(122:122,C42,123:123)+100</f>
        <v>100</v>
      </c>
      <c r="K42" s="569"/>
      <c r="L42" s="2897"/>
      <c r="M42" s="2891"/>
      <c r="N42" s="2891"/>
      <c r="O42" s="2891"/>
      <c r="P42" s="3533"/>
      <c r="Q42" s="1484" t="str">
        <f t="shared" si="11"/>
        <v>内部装修</v>
      </c>
      <c r="R42" s="714" t="s">
        <v>17</v>
      </c>
      <c r="S42" s="715">
        <f t="shared" si="12"/>
        <v>100</v>
      </c>
      <c r="T42" s="714" t="s">
        <v>17</v>
      </c>
      <c r="U42" s="715">
        <f t="shared" si="13"/>
        <v>100</v>
      </c>
      <c r="V42" s="714" t="s">
        <v>17</v>
      </c>
      <c r="W42" s="715">
        <f t="shared" si="14"/>
        <v>100</v>
      </c>
      <c r="X42" s="1487"/>
      <c r="Y42" s="3484"/>
      <c r="Z42" s="1488" t="str">
        <f t="shared" si="15"/>
        <v>内部装修</v>
      </c>
      <c r="AA42" s="1485">
        <f t="shared" si="3"/>
        <v>1</v>
      </c>
      <c r="AB42" s="1485">
        <f t="shared" si="4"/>
        <v>1</v>
      </c>
      <c r="AC42" s="1485">
        <f t="shared" si="5"/>
        <v>1</v>
      </c>
    </row>
    <row r="43" spans="1:29" ht="15">
      <c r="A43" s="431"/>
      <c r="B43" s="381" t="s">
        <v>2156</v>
      </c>
      <c r="C43" s="2039"/>
      <c r="D43" s="394">
        <v>100</v>
      </c>
      <c r="E43" s="2039"/>
      <c r="F43" s="420">
        <f>SUMIF(124:124,E43,125:125)-SUMIF(124:124,C43,125:125)+100</f>
        <v>100</v>
      </c>
      <c r="G43" s="2039"/>
      <c r="H43" s="394">
        <f>SUMIF(124:124,G43,125:125)-SUMIF(124:124,C43,125:125)+100</f>
        <v>100</v>
      </c>
      <c r="I43" s="2039"/>
      <c r="J43" s="394">
        <f>SUMIF(124:124,I43,125:125)-SUMIF(124:124,C43,125:125)+100</f>
        <v>100</v>
      </c>
      <c r="K43" s="569"/>
      <c r="L43" s="2897"/>
      <c r="M43" s="2891"/>
      <c r="N43" s="2891"/>
      <c r="O43" s="2891"/>
      <c r="P43" s="3533"/>
      <c r="Q43" s="1484" t="str">
        <f t="shared" si="11"/>
        <v>内部装修维护情况</v>
      </c>
      <c r="R43" s="714" t="s">
        <v>17</v>
      </c>
      <c r="S43" s="715">
        <f t="shared" si="12"/>
        <v>100</v>
      </c>
      <c r="T43" s="714" t="s">
        <v>17</v>
      </c>
      <c r="U43" s="715">
        <f t="shared" si="13"/>
        <v>100</v>
      </c>
      <c r="V43" s="714" t="s">
        <v>17</v>
      </c>
      <c r="W43" s="715">
        <f t="shared" si="14"/>
        <v>100</v>
      </c>
      <c r="X43" s="1487"/>
      <c r="Y43" s="3484"/>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533"/>
      <c r="Q44" s="1475">
        <f t="shared" si="11"/>
        <v>111</v>
      </c>
      <c r="R44" s="710" t="s">
        <v>17</v>
      </c>
      <c r="S44" s="711">
        <f t="shared" si="12"/>
        <v>100</v>
      </c>
      <c r="T44" s="710" t="s">
        <v>17</v>
      </c>
      <c r="U44" s="711">
        <f t="shared" si="13"/>
        <v>100</v>
      </c>
      <c r="V44" s="710" t="s">
        <v>17</v>
      </c>
      <c r="W44" s="711">
        <f t="shared" si="14"/>
        <v>100</v>
      </c>
      <c r="X44" s="712"/>
      <c r="Y44" s="3484"/>
      <c r="Z44" s="55">
        <f t="shared" si="15"/>
        <v>111</v>
      </c>
      <c r="AA44" s="713">
        <f t="shared" si="3"/>
        <v>1</v>
      </c>
      <c r="AB44" s="713">
        <f t="shared" si="4"/>
        <v>1</v>
      </c>
      <c r="AC44" s="713">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533"/>
      <c r="Q45" s="1484">
        <f t="shared" si="11"/>
        <v>111</v>
      </c>
      <c r="R45" s="714" t="s">
        <v>17</v>
      </c>
      <c r="S45" s="715">
        <f t="shared" si="12"/>
        <v>100</v>
      </c>
      <c r="T45" s="714" t="s">
        <v>17</v>
      </c>
      <c r="U45" s="715">
        <f t="shared" si="13"/>
        <v>100</v>
      </c>
      <c r="V45" s="714" t="s">
        <v>17</v>
      </c>
      <c r="W45" s="715">
        <f t="shared" si="14"/>
        <v>100</v>
      </c>
      <c r="X45" s="1487"/>
      <c r="Y45" s="3484"/>
      <c r="Z45" s="1488">
        <f t="shared" si="15"/>
        <v>111</v>
      </c>
      <c r="AA45" s="1485">
        <f t="shared" si="3"/>
        <v>1</v>
      </c>
      <c r="AB45" s="1485">
        <f t="shared" si="4"/>
        <v>1</v>
      </c>
      <c r="AC45" s="1485">
        <f t="shared" si="5"/>
        <v>1</v>
      </c>
    </row>
    <row r="46" spans="1:29" ht="15.75" thickBot="1">
      <c r="A46" s="437"/>
      <c r="B46" s="202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534"/>
      <c r="Q46" s="1484">
        <f t="shared" si="11"/>
        <v>111</v>
      </c>
      <c r="R46" s="714" t="s">
        <v>17</v>
      </c>
      <c r="S46" s="715">
        <f t="shared" si="12"/>
        <v>100</v>
      </c>
      <c r="T46" s="714" t="s">
        <v>17</v>
      </c>
      <c r="U46" s="715">
        <f t="shared" si="13"/>
        <v>100</v>
      </c>
      <c r="V46" s="714" t="s">
        <v>17</v>
      </c>
      <c r="W46" s="715">
        <f t="shared" si="14"/>
        <v>100</v>
      </c>
      <c r="X46" s="1487"/>
      <c r="Y46" s="3535"/>
      <c r="Z46" s="1488">
        <f t="shared" si="15"/>
        <v>111</v>
      </c>
      <c r="AA46" s="1485">
        <f t="shared" si="3"/>
        <v>1</v>
      </c>
      <c r="AB46" s="1485">
        <f t="shared" si="4"/>
        <v>1</v>
      </c>
      <c r="AC46" s="1485">
        <f t="shared" si="5"/>
        <v>1</v>
      </c>
    </row>
    <row r="47" spans="1:29" ht="15">
      <c r="A47" s="438" t="s">
        <v>2157</v>
      </c>
      <c r="B47" s="439"/>
      <c r="C47" s="1266" t="s">
        <v>1</v>
      </c>
      <c r="D47" s="1267"/>
      <c r="E47" s="1268"/>
      <c r="F47" s="1269"/>
      <c r="G47" s="1270"/>
      <c r="H47" s="1271"/>
      <c r="I47" s="1268"/>
      <c r="J47" s="1271"/>
      <c r="K47" s="723"/>
      <c r="L47" s="2899"/>
      <c r="M47" s="2900"/>
      <c r="N47" s="2891"/>
      <c r="O47" s="2900"/>
      <c r="P47" s="3465" t="str">
        <f>A47</f>
        <v>成交单价（元/平方米）</v>
      </c>
      <c r="Q47" s="3465"/>
      <c r="R47" s="3481">
        <f>E47</f>
        <v>0</v>
      </c>
      <c r="S47" s="3481"/>
      <c r="T47" s="3481">
        <f>G47</f>
        <v>0</v>
      </c>
      <c r="U47" s="3481"/>
      <c r="V47" s="3481">
        <f>I47</f>
        <v>0</v>
      </c>
      <c r="W47" s="3481"/>
      <c r="X47" s="699"/>
      <c r="Y47" s="721"/>
      <c r="Z47" s="699"/>
      <c r="AA47" s="699"/>
      <c r="AB47" s="699"/>
      <c r="AC47" s="699"/>
    </row>
    <row r="48" spans="1:29" ht="15.75" thickBot="1">
      <c r="A48" s="445" t="s">
        <v>2249</v>
      </c>
      <c r="B48" s="446"/>
      <c r="C48" s="1272" t="e">
        <f>R49</f>
        <v>#DIV/0!</v>
      </c>
      <c r="D48" s="2485" t="s">
        <v>2638</v>
      </c>
      <c r="E48" s="1273" t="e">
        <f>R48</f>
        <v>#DIV/0!</v>
      </c>
      <c r="F48" s="2486"/>
      <c r="G48" s="1272" t="e">
        <f>T48</f>
        <v>#DIV/0!</v>
      </c>
      <c r="H48" s="2486"/>
      <c r="I48" s="1273" t="e">
        <f>V48</f>
        <v>#DIV/0!</v>
      </c>
      <c r="J48" s="2486"/>
      <c r="K48" s="2488">
        <f>F48+H48+J48</f>
        <v>0</v>
      </c>
      <c r="L48" s="2899"/>
      <c r="M48" s="2900"/>
      <c r="N48" s="2891"/>
      <c r="O48" s="2900"/>
      <c r="P48" s="3465" t="str">
        <f>A48</f>
        <v>比较价值（元/平方米）</v>
      </c>
      <c r="Q48" s="3465"/>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699"/>
      <c r="Y48" s="699"/>
      <c r="Z48" s="699"/>
      <c r="AA48" s="699"/>
      <c r="AB48" s="699"/>
      <c r="AC48" s="699"/>
    </row>
    <row r="49" spans="1:29" ht="15.75" thickBot="1">
      <c r="A49" s="449" t="s">
        <v>2250</v>
      </c>
      <c r="B49" s="450"/>
      <c r="C49" s="1275" t="e">
        <f>R49</f>
        <v>#DIV/0!</v>
      </c>
      <c r="D49" s="1275"/>
      <c r="E49" s="1275"/>
      <c r="F49" s="1275"/>
      <c r="G49" s="1275"/>
      <c r="H49" s="1275"/>
      <c r="I49" s="1275"/>
      <c r="J49" s="1275"/>
      <c r="K49" s="724"/>
      <c r="L49" s="2899"/>
      <c r="M49" s="2900"/>
      <c r="N49" s="2891"/>
      <c r="O49" s="2900"/>
      <c r="P49" s="3500" t="str">
        <f>A49</f>
        <v>估价对象XX用房的比较价值（楼面单价，元/平方米）</v>
      </c>
      <c r="Q49" s="3501"/>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2254</v>
      </c>
      <c r="B57" s="699"/>
      <c r="C57" s="704"/>
      <c r="D57" s="704"/>
      <c r="E57" s="704"/>
      <c r="F57" s="705"/>
      <c r="G57" s="705"/>
      <c r="H57" s="704"/>
      <c r="I57" s="704"/>
      <c r="J57" s="704"/>
      <c r="K57" s="706"/>
      <c r="L57" s="1051"/>
      <c r="M57" s="1049"/>
      <c r="N57" s="1049"/>
      <c r="O57" s="1049"/>
      <c r="P57" s="2913"/>
      <c r="Q57" s="2914"/>
      <c r="R57" s="2900"/>
      <c r="S57" s="2900"/>
      <c r="T57" s="2900"/>
      <c r="U57" s="2900"/>
      <c r="V57" s="2900"/>
      <c r="W57" s="2900"/>
      <c r="X57" s="2900"/>
      <c r="Y57" s="2900"/>
      <c r="Z57" s="2900"/>
      <c r="AA57" s="2900"/>
      <c r="AB57" s="2900"/>
      <c r="AC57" s="2900"/>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5"/>
      <c r="Q58" s="2916"/>
      <c r="R58" s="2916"/>
      <c r="S58" s="2916"/>
      <c r="T58" s="2916"/>
      <c r="U58" s="2916"/>
      <c r="V58" s="2916"/>
      <c r="W58" s="2916"/>
      <c r="X58" s="2916"/>
      <c r="Y58" s="2916"/>
      <c r="Z58" s="2916"/>
      <c r="AA58" s="2916"/>
      <c r="AB58" s="2916"/>
      <c r="AC58" s="2916"/>
    </row>
    <row r="59" spans="1:29" s="113" customFormat="1" ht="15">
      <c r="A59" s="466"/>
      <c r="B59" s="467"/>
      <c r="C59" s="1295">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2139</v>
      </c>
      <c r="B76" s="485" t="s">
        <v>2176</v>
      </c>
      <c r="C76" s="530" t="s">
        <v>2177</v>
      </c>
      <c r="D76" s="530" t="s">
        <v>2178</v>
      </c>
      <c r="E76" s="530" t="s">
        <v>2179</v>
      </c>
      <c r="F76" s="530" t="s">
        <v>2180</v>
      </c>
      <c r="G76" s="530" t="s">
        <v>2181</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2182</v>
      </c>
      <c r="C78" s="535" t="s">
        <v>2177</v>
      </c>
      <c r="D78" s="535" t="s">
        <v>2178</v>
      </c>
      <c r="E78" s="535" t="s">
        <v>2179</v>
      </c>
      <c r="F78" s="535" t="s">
        <v>2180</v>
      </c>
      <c r="G78" s="535" t="s">
        <v>2181</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2183</v>
      </c>
      <c r="C80" s="535" t="s">
        <v>2177</v>
      </c>
      <c r="D80" s="535" t="s">
        <v>2178</v>
      </c>
      <c r="E80" s="535" t="s">
        <v>2179</v>
      </c>
      <c r="F80" s="535" t="s">
        <v>2180</v>
      </c>
      <c r="G80" s="535" t="s">
        <v>2181</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2235</v>
      </c>
      <c r="C82" s="616" t="s">
        <v>2255</v>
      </c>
      <c r="D82" s="616" t="s">
        <v>2256</v>
      </c>
      <c r="E82" s="616" t="s">
        <v>2257</v>
      </c>
      <c r="F82" s="616" t="s">
        <v>2258</v>
      </c>
      <c r="G82" s="616" t="s">
        <v>2259</v>
      </c>
      <c r="H82" s="496"/>
      <c r="I82" s="496"/>
      <c r="J82" s="496"/>
      <c r="K82" s="496"/>
      <c r="L82" s="496"/>
      <c r="M82" s="1241"/>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2189</v>
      </c>
      <c r="C84" s="535" t="s">
        <v>2177</v>
      </c>
      <c r="D84" s="535" t="s">
        <v>2178</v>
      </c>
      <c r="E84" s="535" t="s">
        <v>2179</v>
      </c>
      <c r="F84" s="535" t="s">
        <v>2180</v>
      </c>
      <c r="G84" s="535" t="s">
        <v>2181</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2260</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0"/>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1"/>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2143</v>
      </c>
      <c r="B100" s="485" t="s">
        <v>2261</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2194</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2196</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2198</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2262</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2263</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2264</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2265</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2200</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1"/>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0" t="s">
        <v>2266</v>
      </c>
      <c r="C1" s="1342" t="s">
        <v>2110</v>
      </c>
      <c r="D1" s="1343"/>
      <c r="E1" s="1352"/>
      <c r="F1" s="2012"/>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IF(C2="——",ROUND(C50*D3/10000,0),ROUND(C50*D3/10000,0)-D2)</f>
        <v>#DIV/0!</v>
      </c>
      <c r="C2" s="2014"/>
      <c r="D2" s="1225" t="e">
        <f ca="1">SUMIF(INDIRECT("'"&amp;F2&amp;"'"&amp;"!A:A"),"承租人权益价值",INDIRECT("'"&amp;F2&amp;"'"&amp;"!c:c"))</f>
        <v>#REF!</v>
      </c>
      <c r="E2" s="2015" t="s">
        <v>1908</v>
      </c>
      <c r="F2" s="2016"/>
      <c r="G2" s="1017"/>
      <c r="H2" s="1017"/>
      <c r="I2" s="1017"/>
      <c r="J2" s="1017"/>
      <c r="K2" s="1017"/>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3836.1200000000003</v>
      </c>
      <c r="E3" s="2087"/>
      <c r="F3" s="1018"/>
      <c r="G3" s="1017"/>
      <c r="H3" s="1017"/>
      <c r="I3" s="1017"/>
      <c r="J3" s="1017"/>
      <c r="K3" s="1019"/>
      <c r="L3" s="2909"/>
      <c r="M3" s="2910"/>
      <c r="N3" s="2910"/>
      <c r="O3" s="2910"/>
      <c r="P3" s="708"/>
      <c r="Q3" s="708"/>
      <c r="R3" s="708"/>
      <c r="S3" s="708"/>
      <c r="T3" s="708"/>
      <c r="U3" s="708"/>
      <c r="V3" s="708"/>
      <c r="W3" s="708"/>
      <c r="X3" s="708"/>
      <c r="Y3" s="708"/>
      <c r="Z3" s="708"/>
      <c r="AA3" s="708"/>
      <c r="AB3" s="708"/>
      <c r="AC3" s="709"/>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548" t="s">
        <v>2231</v>
      </c>
      <c r="Q4" s="3549"/>
      <c r="R4" s="3552" t="s">
        <v>2227</v>
      </c>
      <c r="S4" s="3553"/>
      <c r="T4" s="3552" t="s">
        <v>2228</v>
      </c>
      <c r="U4" s="3553"/>
      <c r="V4" s="3554" t="s">
        <v>2229</v>
      </c>
      <c r="W4" s="3554"/>
      <c r="X4" s="2091"/>
      <c r="Y4" s="3552" t="s">
        <v>2231</v>
      </c>
      <c r="Z4" s="3553"/>
      <c r="AA4" s="3556" t="s">
        <v>2227</v>
      </c>
      <c r="AB4" s="3556" t="s">
        <v>2228</v>
      </c>
      <c r="AC4" s="3545" t="s">
        <v>2229</v>
      </c>
    </row>
    <row r="5" spans="1:29" ht="15">
      <c r="A5" s="364"/>
      <c r="B5" s="365"/>
      <c r="C5" s="3472" t="s">
        <v>2122</v>
      </c>
      <c r="D5" s="3473"/>
      <c r="E5" s="3497" t="s">
        <v>2123</v>
      </c>
      <c r="F5" s="3498"/>
      <c r="G5" s="3472" t="s">
        <v>2124</v>
      </c>
      <c r="H5" s="3473"/>
      <c r="I5" s="3472" t="s">
        <v>2125</v>
      </c>
      <c r="J5" s="3473"/>
      <c r="K5" s="567"/>
      <c r="L5" s="2890"/>
      <c r="M5" s="2891"/>
      <c r="N5" s="2891"/>
      <c r="O5" s="2891"/>
      <c r="P5" s="3550"/>
      <c r="Q5" s="3494"/>
      <c r="R5" s="3470"/>
      <c r="S5" s="3471"/>
      <c r="T5" s="3470"/>
      <c r="U5" s="3471"/>
      <c r="V5" s="3481"/>
      <c r="W5" s="3481"/>
      <c r="X5" s="1487"/>
      <c r="Y5" s="3470"/>
      <c r="Z5" s="3471"/>
      <c r="AA5" s="3486"/>
      <c r="AB5" s="3486"/>
      <c r="AC5" s="354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551"/>
      <c r="Q6" s="3496"/>
      <c r="R6" s="3470"/>
      <c r="S6" s="3471"/>
      <c r="T6" s="3479"/>
      <c r="U6" s="3480"/>
      <c r="V6" s="3481"/>
      <c r="W6" s="3481"/>
      <c r="X6" s="1487"/>
      <c r="Y6" s="3479"/>
      <c r="Z6" s="3480"/>
      <c r="AA6" s="3487"/>
      <c r="AB6" s="3487"/>
      <c r="AC6" s="3547"/>
    </row>
    <row r="7" spans="1:29" s="113" customFormat="1" ht="15.75" thickBot="1">
      <c r="A7" s="368" t="s">
        <v>2128</v>
      </c>
      <c r="B7" s="369"/>
      <c r="C7" s="370">
        <f>'数据-取费表'!B2</f>
        <v>44788</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55"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2092"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55" t="s">
        <v>2132</v>
      </c>
      <c r="Q8" s="3467"/>
      <c r="R8" s="710" t="s">
        <v>17</v>
      </c>
      <c r="S8" s="711">
        <f t="shared" si="0"/>
        <v>0</v>
      </c>
      <c r="T8" s="710" t="s">
        <v>17</v>
      </c>
      <c r="U8" s="711">
        <f t="shared" si="1"/>
        <v>0</v>
      </c>
      <c r="V8" s="710" t="s">
        <v>17</v>
      </c>
      <c r="W8" s="711">
        <f t="shared" si="2"/>
        <v>0</v>
      </c>
      <c r="X8" s="712"/>
      <c r="Y8" s="3466" t="s">
        <v>2132</v>
      </c>
      <c r="Z8" s="3467"/>
      <c r="AA8" s="713" t="e">
        <f t="shared" ref="AA8:AA47" si="3">D8/F8</f>
        <v>#DIV/0!</v>
      </c>
      <c r="AB8" s="713" t="e">
        <f t="shared" ref="AB8:AB47" si="4">D8/H8</f>
        <v>#DIV/0!</v>
      </c>
      <c r="AC8" s="2092"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64"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2092">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64"/>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092">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64"/>
      <c r="Q11" s="1475"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092" t="e">
        <f t="shared" si="5"/>
        <v>#N/A</v>
      </c>
    </row>
    <row r="12" spans="1:29" s="113" customFormat="1" ht="15">
      <c r="A12" s="390"/>
      <c r="B12" s="2026">
        <v>111</v>
      </c>
      <c r="C12" s="391"/>
      <c r="D12" s="392">
        <v>100</v>
      </c>
      <c r="E12" s="391"/>
      <c r="F12" s="132">
        <f>SUMIF(71:71,E12,72:72)-SUMIF(71:71,C12,72:72)+100</f>
        <v>100</v>
      </c>
      <c r="G12" s="2093"/>
      <c r="H12" s="132">
        <f>SUMIF(71:71,G12,72:72)-SUMIF(71:71,C12,72:72)+100</f>
        <v>100</v>
      </c>
      <c r="I12" s="391"/>
      <c r="J12" s="132">
        <f>SUMIF(71:71,I12,72:72)-SUMIF(71:71,C12,72:72)+100</f>
        <v>100</v>
      </c>
      <c r="K12" s="570"/>
      <c r="L12" s="2892"/>
      <c r="M12" s="2893"/>
      <c r="N12" s="2893"/>
      <c r="O12" s="2893"/>
      <c r="P12" s="3464"/>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092">
        <f>D12/J12</f>
        <v>1</v>
      </c>
    </row>
    <row r="13" spans="1:29" ht="15">
      <c r="A13" s="387"/>
      <c r="B13" s="2026">
        <v>111</v>
      </c>
      <c r="C13" s="393"/>
      <c r="D13" s="394">
        <v>100</v>
      </c>
      <c r="E13" s="391"/>
      <c r="F13" s="132">
        <f>SUMIF(73:73,E13,74:74)-SUMIF(73:73,C13,74:74)+100</f>
        <v>100</v>
      </c>
      <c r="G13" s="2093"/>
      <c r="H13" s="394">
        <f>SUMIF(73:73,G13,74:74)-SUMIF(73:73,C13,74:74)+100</f>
        <v>100</v>
      </c>
      <c r="I13" s="391"/>
      <c r="J13" s="394">
        <f>SUMIF(73:73,I13,74:74)-SUMIF(73:73,C13,74:74)+100</f>
        <v>100</v>
      </c>
      <c r="K13" s="570"/>
      <c r="L13" s="2897"/>
      <c r="M13" s="2891"/>
      <c r="N13" s="2891"/>
      <c r="O13" s="2891"/>
      <c r="P13" s="3464"/>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092">
        <f t="shared" si="5"/>
        <v>1</v>
      </c>
    </row>
    <row r="14" spans="1:29" ht="15.75" thickBot="1">
      <c r="A14" s="395"/>
      <c r="B14" s="2028">
        <v>111</v>
      </c>
      <c r="C14" s="396"/>
      <c r="D14" s="397">
        <v>100</v>
      </c>
      <c r="E14" s="584"/>
      <c r="F14" s="397">
        <f>SUMIF(75:75,E14,76:76)-SUMIF(75:75,C14,76:76)+100</f>
        <v>100</v>
      </c>
      <c r="G14" s="2093"/>
      <c r="H14" s="397">
        <f>SUMIF(75:75,G14,76:76)-SUMIF(75:75,C14,76:76)+100</f>
        <v>100</v>
      </c>
      <c r="I14" s="391"/>
      <c r="J14" s="397">
        <f>SUMIF(75:75,I14,76:76)-SUMIF(75:75,C14,76:76)+100</f>
        <v>100</v>
      </c>
      <c r="K14" s="570"/>
      <c r="L14" s="2897"/>
      <c r="M14" s="2891"/>
      <c r="N14" s="2891"/>
      <c r="O14" s="2891"/>
      <c r="P14" s="3464"/>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092">
        <f t="shared" si="5"/>
        <v>1</v>
      </c>
    </row>
    <row r="15" spans="1:29" ht="71.25">
      <c r="A15" s="399" t="s">
        <v>2139</v>
      </c>
      <c r="B15" s="585" t="s">
        <v>2267</v>
      </c>
      <c r="C15" s="209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536" t="s">
        <v>2140</v>
      </c>
      <c r="Q15" s="1484" t="str">
        <f t="shared" si="6"/>
        <v>办公集聚程度</v>
      </c>
      <c r="R15" s="714" t="s">
        <v>17</v>
      </c>
      <c r="S15" s="715">
        <f t="shared" si="0"/>
        <v>100</v>
      </c>
      <c r="T15" s="714" t="s">
        <v>17</v>
      </c>
      <c r="U15" s="715">
        <f t="shared" si="1"/>
        <v>100</v>
      </c>
      <c r="V15" s="714" t="s">
        <v>17</v>
      </c>
      <c r="W15" s="715">
        <f t="shared" si="2"/>
        <v>100</v>
      </c>
      <c r="X15" s="1487"/>
      <c r="Y15" s="3482" t="s">
        <v>2140</v>
      </c>
      <c r="Z15" s="1488" t="str">
        <f t="shared" si="7"/>
        <v>办公集聚程度</v>
      </c>
      <c r="AA15" s="1485">
        <f t="shared" si="3"/>
        <v>1</v>
      </c>
      <c r="AB15" s="1485">
        <f t="shared" si="4"/>
        <v>1</v>
      </c>
      <c r="AC15" s="2095">
        <f t="shared" si="5"/>
        <v>1</v>
      </c>
    </row>
    <row r="16" spans="1:29" ht="15">
      <c r="A16" s="387"/>
      <c r="B16" s="586"/>
      <c r="C16" s="2037"/>
      <c r="D16" s="407"/>
      <c r="E16" s="406"/>
      <c r="F16" s="407"/>
      <c r="G16" s="2037"/>
      <c r="H16" s="409"/>
      <c r="I16" s="406"/>
      <c r="J16" s="407"/>
      <c r="K16" s="572"/>
      <c r="L16" s="2897"/>
      <c r="M16" s="2891"/>
      <c r="N16" s="2891"/>
      <c r="O16" s="2891"/>
      <c r="P16" s="3537"/>
      <c r="Q16" s="1484"/>
      <c r="R16" s="714"/>
      <c r="S16" s="715"/>
      <c r="T16" s="714"/>
      <c r="U16" s="715"/>
      <c r="V16" s="714"/>
      <c r="W16" s="715"/>
      <c r="X16" s="1487"/>
      <c r="Y16" s="3483"/>
      <c r="Z16" s="1488"/>
      <c r="AA16" s="1485">
        <v>1</v>
      </c>
      <c r="AB16" s="1485">
        <v>1</v>
      </c>
      <c r="AC16" s="2095">
        <v>1</v>
      </c>
    </row>
    <row r="17" spans="1:29" ht="71.25">
      <c r="A17" s="387"/>
      <c r="B17" s="587" t="s">
        <v>1704</v>
      </c>
      <c r="C17" s="209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537"/>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2095">
        <f t="shared" si="5"/>
        <v>1</v>
      </c>
    </row>
    <row r="18" spans="1:29" ht="15">
      <c r="A18" s="387"/>
      <c r="B18" s="588"/>
      <c r="C18" s="2097"/>
      <c r="D18" s="409"/>
      <c r="E18" s="2035"/>
      <c r="F18" s="409"/>
      <c r="G18" s="2036"/>
      <c r="H18" s="407"/>
      <c r="I18" s="2036"/>
      <c r="J18" s="407"/>
      <c r="K18" s="572"/>
      <c r="L18" s="2897"/>
      <c r="M18" s="2891"/>
      <c r="N18" s="2891"/>
      <c r="O18" s="2891"/>
      <c r="P18" s="3537"/>
      <c r="Q18" s="1484"/>
      <c r="R18" s="714"/>
      <c r="S18" s="715"/>
      <c r="T18" s="714"/>
      <c r="U18" s="715"/>
      <c r="V18" s="714"/>
      <c r="W18" s="715"/>
      <c r="X18" s="1487"/>
      <c r="Y18" s="3483"/>
      <c r="Z18" s="1488"/>
      <c r="AA18" s="1485">
        <v>1</v>
      </c>
      <c r="AB18" s="1485">
        <v>1</v>
      </c>
      <c r="AC18" s="2095">
        <v>1</v>
      </c>
    </row>
    <row r="19" spans="1:29" ht="42.75">
      <c r="A19" s="387"/>
      <c r="B19" s="587" t="s">
        <v>2268</v>
      </c>
      <c r="C19" s="209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537"/>
      <c r="Q19" s="1484" t="str">
        <f>B19</f>
        <v>公共配套设施</v>
      </c>
      <c r="R19" s="714" t="s">
        <v>17</v>
      </c>
      <c r="S19" s="715">
        <f>F19</f>
        <v>100</v>
      </c>
      <c r="T19" s="714" t="s">
        <v>17</v>
      </c>
      <c r="U19" s="715">
        <f>H19</f>
        <v>100</v>
      </c>
      <c r="V19" s="714" t="s">
        <v>17</v>
      </c>
      <c r="W19" s="715">
        <f>J19</f>
        <v>100</v>
      </c>
      <c r="X19" s="1487"/>
      <c r="Y19" s="3483"/>
      <c r="Z19" s="1488" t="str">
        <f>Q19</f>
        <v>公共配套设施</v>
      </c>
      <c r="AA19" s="1485">
        <f t="shared" si="3"/>
        <v>1</v>
      </c>
      <c r="AB19" s="1485">
        <f t="shared" si="4"/>
        <v>1</v>
      </c>
      <c r="AC19" s="2095">
        <f t="shared" si="5"/>
        <v>1</v>
      </c>
    </row>
    <row r="20" spans="1:29" ht="15">
      <c r="A20" s="387"/>
      <c r="B20" s="588"/>
      <c r="C20" s="2037"/>
      <c r="D20" s="407"/>
      <c r="E20" s="2030"/>
      <c r="F20" s="407"/>
      <c r="G20" s="2031"/>
      <c r="H20" s="407"/>
      <c r="I20" s="2031"/>
      <c r="J20" s="407"/>
      <c r="K20" s="572"/>
      <c r="L20" s="2897"/>
      <c r="M20" s="2891"/>
      <c r="N20" s="2891"/>
      <c r="O20" s="2891"/>
      <c r="P20" s="3537"/>
      <c r="Q20" s="1484"/>
      <c r="R20" s="714"/>
      <c r="S20" s="715"/>
      <c r="T20" s="714"/>
      <c r="U20" s="715"/>
      <c r="V20" s="714"/>
      <c r="W20" s="715"/>
      <c r="X20" s="1487"/>
      <c r="Y20" s="3483"/>
      <c r="Z20" s="1488"/>
      <c r="AA20" s="1485">
        <v>1</v>
      </c>
      <c r="AB20" s="1485">
        <v>1</v>
      </c>
      <c r="AC20" s="2095">
        <v>1</v>
      </c>
    </row>
    <row r="21" spans="1:29" ht="28.5">
      <c r="A21" s="387"/>
      <c r="B21" s="589" t="s">
        <v>2269</v>
      </c>
      <c r="C21" s="209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537"/>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2095">
        <f t="shared" ref="AC21" si="10">D21/J21</f>
        <v>1</v>
      </c>
    </row>
    <row r="22" spans="1:29" ht="15">
      <c r="A22" s="387"/>
      <c r="B22" s="589"/>
      <c r="C22" s="2097"/>
      <c r="D22" s="407"/>
      <c r="E22" s="406"/>
      <c r="F22" s="407"/>
      <c r="G22" s="2037"/>
      <c r="H22" s="407"/>
      <c r="I22" s="2037"/>
      <c r="J22" s="407"/>
      <c r="K22" s="1242"/>
      <c r="L22" s="2897"/>
      <c r="M22" s="2891"/>
      <c r="N22" s="2891"/>
      <c r="O22" s="2891"/>
      <c r="P22" s="3537"/>
      <c r="Q22" s="1484"/>
      <c r="R22" s="714"/>
      <c r="S22" s="715"/>
      <c r="T22" s="714"/>
      <c r="U22" s="715"/>
      <c r="V22" s="714"/>
      <c r="W22" s="715"/>
      <c r="X22" s="1487"/>
      <c r="Y22" s="3483"/>
      <c r="Z22" s="1488"/>
      <c r="AA22" s="1485">
        <v>1</v>
      </c>
      <c r="AB22" s="1485">
        <v>1</v>
      </c>
      <c r="AC22" s="2095">
        <v>1</v>
      </c>
    </row>
    <row r="23" spans="1:29" ht="42.75">
      <c r="A23" s="387"/>
      <c r="B23" s="587" t="s">
        <v>2270</v>
      </c>
      <c r="C23" s="209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537"/>
      <c r="Q23" s="1484" t="str">
        <f>B23</f>
        <v>环境质量</v>
      </c>
      <c r="R23" s="714" t="s">
        <v>17</v>
      </c>
      <c r="S23" s="715">
        <f>F23</f>
        <v>100</v>
      </c>
      <c r="T23" s="714" t="s">
        <v>17</v>
      </c>
      <c r="U23" s="715">
        <f>H23</f>
        <v>100</v>
      </c>
      <c r="V23" s="714" t="s">
        <v>17</v>
      </c>
      <c r="W23" s="715">
        <f>J23</f>
        <v>100</v>
      </c>
      <c r="X23" s="1487"/>
      <c r="Y23" s="3483"/>
      <c r="Z23" s="1488" t="str">
        <f>Q23</f>
        <v>环境质量</v>
      </c>
      <c r="AA23" s="1485">
        <f t="shared" si="3"/>
        <v>1</v>
      </c>
      <c r="AB23" s="1485">
        <f t="shared" si="4"/>
        <v>1</v>
      </c>
      <c r="AC23" s="2095">
        <f t="shared" si="5"/>
        <v>1</v>
      </c>
    </row>
    <row r="24" spans="1:29" ht="15">
      <c r="A24" s="387"/>
      <c r="B24" s="589"/>
      <c r="C24" s="2037"/>
      <c r="D24" s="407"/>
      <c r="E24" s="2030"/>
      <c r="F24" s="407"/>
      <c r="G24" s="2031"/>
      <c r="H24" s="407"/>
      <c r="I24" s="2031"/>
      <c r="J24" s="407"/>
      <c r="K24" s="572"/>
      <c r="L24" s="2897"/>
      <c r="M24" s="2891"/>
      <c r="N24" s="2891"/>
      <c r="O24" s="2891"/>
      <c r="P24" s="3537"/>
      <c r="Q24" s="1484"/>
      <c r="R24" s="714"/>
      <c r="S24" s="715"/>
      <c r="T24" s="714"/>
      <c r="U24" s="715"/>
      <c r="V24" s="714"/>
      <c r="W24" s="715"/>
      <c r="X24" s="1487"/>
      <c r="Y24" s="3483"/>
      <c r="Z24" s="1488"/>
      <c r="AA24" s="1485">
        <v>1</v>
      </c>
      <c r="AB24" s="1485">
        <v>1</v>
      </c>
      <c r="AC24" s="2095">
        <v>1</v>
      </c>
    </row>
    <row r="25" spans="1:29" ht="27">
      <c r="A25" s="364"/>
      <c r="B25" s="587" t="s">
        <v>2271</v>
      </c>
      <c r="C25" s="2041"/>
      <c r="D25" s="394">
        <v>100</v>
      </c>
      <c r="E25" s="393"/>
      <c r="F25" s="394">
        <f>SUMIF(87:87,E26,88:88)-SUMIF(87:87,C26,88:88)+100</f>
        <v>100</v>
      </c>
      <c r="G25" s="2041"/>
      <c r="H25" s="394">
        <f>SUMIF(87:87,G26,88:88)-SUMIF(87:87,C26,88:88)+100</f>
        <v>100</v>
      </c>
      <c r="I25" s="393"/>
      <c r="J25" s="394">
        <f>SUMIF(87:87,I26,88:88)-SUMIF(87:87,C26,88:88)+100</f>
        <v>100</v>
      </c>
      <c r="K25" s="571"/>
      <c r="L25" s="2897"/>
      <c r="M25" s="2891"/>
      <c r="N25" s="2891"/>
      <c r="O25" s="2891"/>
      <c r="P25" s="3537"/>
      <c r="Q25" s="1484" t="str">
        <f>B25</f>
        <v>毗邻道路的类型与等级</v>
      </c>
      <c r="R25" s="714" t="s">
        <v>17</v>
      </c>
      <c r="S25" s="715">
        <f>F25</f>
        <v>100</v>
      </c>
      <c r="T25" s="714" t="s">
        <v>17</v>
      </c>
      <c r="U25" s="715">
        <f>H25</f>
        <v>100</v>
      </c>
      <c r="V25" s="714" t="s">
        <v>17</v>
      </c>
      <c r="W25" s="715">
        <f>J25</f>
        <v>100</v>
      </c>
      <c r="X25" s="1487"/>
      <c r="Y25" s="3483"/>
      <c r="Z25" s="1488" t="str">
        <f>Q25</f>
        <v>毗邻道路的类型与等级</v>
      </c>
      <c r="AA25" s="1485">
        <f t="shared" si="3"/>
        <v>1</v>
      </c>
      <c r="AB25" s="1485">
        <f t="shared" si="4"/>
        <v>1</v>
      </c>
      <c r="AC25" s="2095">
        <f t="shared" si="5"/>
        <v>1</v>
      </c>
    </row>
    <row r="26" spans="1:29" ht="15">
      <c r="A26" s="364"/>
      <c r="B26" s="588"/>
      <c r="C26" s="590"/>
      <c r="D26" s="394"/>
      <c r="E26" s="573"/>
      <c r="F26" s="394"/>
      <c r="G26" s="590"/>
      <c r="H26" s="394"/>
      <c r="I26" s="573"/>
      <c r="J26" s="394"/>
      <c r="K26" s="572"/>
      <c r="L26" s="2897"/>
      <c r="M26" s="2891"/>
      <c r="N26" s="2891"/>
      <c r="O26" s="2891"/>
      <c r="P26" s="3537"/>
      <c r="Q26" s="1484"/>
      <c r="R26" s="714"/>
      <c r="S26" s="715"/>
      <c r="T26" s="714"/>
      <c r="U26" s="715"/>
      <c r="V26" s="714"/>
      <c r="W26" s="715"/>
      <c r="X26" s="1487"/>
      <c r="Y26" s="3483"/>
      <c r="Z26" s="1488"/>
      <c r="AA26" s="1485">
        <v>1</v>
      </c>
      <c r="AB26" s="1485">
        <v>1</v>
      </c>
      <c r="AC26" s="2095">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537"/>
      <c r="Q27" s="1484" t="str">
        <f t="shared" ref="Q27:Q47" si="11">B27</f>
        <v>楼层</v>
      </c>
      <c r="R27" s="714" t="s">
        <v>17</v>
      </c>
      <c r="S27" s="715">
        <f>F27</f>
        <v>100</v>
      </c>
      <c r="T27" s="714" t="s">
        <v>17</v>
      </c>
      <c r="U27" s="715">
        <f>H27</f>
        <v>100</v>
      </c>
      <c r="V27" s="714" t="s">
        <v>17</v>
      </c>
      <c r="W27" s="715">
        <f>J27</f>
        <v>100</v>
      </c>
      <c r="X27" s="1487"/>
      <c r="Y27" s="3483"/>
      <c r="Z27" s="1488" t="str">
        <f>Q27</f>
        <v>楼层</v>
      </c>
      <c r="AA27" s="1485">
        <f t="shared" si="3"/>
        <v>1</v>
      </c>
      <c r="AB27" s="1485">
        <f t="shared" si="4"/>
        <v>1</v>
      </c>
      <c r="AC27" s="2095">
        <f t="shared" si="5"/>
        <v>1</v>
      </c>
    </row>
    <row r="28" spans="1:29" s="113" customFormat="1" ht="15">
      <c r="A28" s="390"/>
      <c r="B28" s="587" t="s">
        <v>2272</v>
      </c>
      <c r="C28" s="2098"/>
      <c r="D28" s="421">
        <v>100</v>
      </c>
      <c r="E28" s="2089"/>
      <c r="F28" s="421">
        <f>SUMIF(91:91,E28,92:92)-SUMIF(91:91,C28,92:92)+100</f>
        <v>100</v>
      </c>
      <c r="G28" s="2098"/>
      <c r="H28" s="421">
        <f>SUMIF(91:91,G28,92:92)-SUMIF(91:91,C28,92:92)+100</f>
        <v>100</v>
      </c>
      <c r="I28" s="2089"/>
      <c r="J28" s="421">
        <f>SUMIF(91:91,I28,92:92)-SUMIF(91:91,C28,92:92)+100</f>
        <v>100</v>
      </c>
      <c r="K28" s="569"/>
      <c r="L28" s="2892"/>
      <c r="M28" s="2893"/>
      <c r="N28" s="2893"/>
      <c r="O28" s="2893"/>
      <c r="P28" s="3537"/>
      <c r="Q28" s="1475" t="str">
        <f t="shared" si="11"/>
        <v>朝向</v>
      </c>
      <c r="R28" s="710" t="s">
        <v>17</v>
      </c>
      <c r="S28" s="711">
        <f>F28</f>
        <v>100</v>
      </c>
      <c r="T28" s="710" t="s">
        <v>17</v>
      </c>
      <c r="U28" s="711">
        <f>H28</f>
        <v>100</v>
      </c>
      <c r="V28" s="710" t="s">
        <v>17</v>
      </c>
      <c r="W28" s="711">
        <f>J28</f>
        <v>100</v>
      </c>
      <c r="X28" s="712"/>
      <c r="Y28" s="3483"/>
      <c r="Z28" s="55" t="str">
        <f>Q28</f>
        <v>朝向</v>
      </c>
      <c r="AA28" s="1485">
        <f>D28/F28</f>
        <v>1</v>
      </c>
      <c r="AB28" s="1485">
        <f>D28/H28</f>
        <v>1</v>
      </c>
      <c r="AC28" s="2095">
        <f>D28/J28</f>
        <v>1</v>
      </c>
    </row>
    <row r="29" spans="1:29" ht="15">
      <c r="A29" s="387"/>
      <c r="B29" s="2099">
        <v>111</v>
      </c>
      <c r="C29" s="2041"/>
      <c r="D29" s="394">
        <v>100</v>
      </c>
      <c r="E29" s="391"/>
      <c r="F29" s="394">
        <f>SUMIF(93:93,E29,94:94)-SUMIF(93:93,C29,94:94)+100</f>
        <v>100</v>
      </c>
      <c r="G29" s="2093"/>
      <c r="H29" s="394">
        <f>SUMIF(93:93,G29,94:94)-SUMIF(93:93,C29,94:94)+100</f>
        <v>100</v>
      </c>
      <c r="I29" s="391"/>
      <c r="J29" s="394">
        <f>SUMIF(93:93,I29,94:94)-SUMIF(93:93,C29,94:94)+100</f>
        <v>100</v>
      </c>
      <c r="K29" s="570"/>
      <c r="L29" s="2897"/>
      <c r="M29" s="2891"/>
      <c r="N29" s="2891"/>
      <c r="O29" s="2891"/>
      <c r="P29" s="3537"/>
      <c r="Q29" s="1484">
        <f t="shared" si="11"/>
        <v>111</v>
      </c>
      <c r="R29" s="714" t="s">
        <v>17</v>
      </c>
      <c r="S29" s="715">
        <f t="shared" ref="S29:S47" si="12">F29</f>
        <v>100</v>
      </c>
      <c r="T29" s="714" t="s">
        <v>17</v>
      </c>
      <c r="U29" s="715">
        <f t="shared" ref="U29:U47" si="13">H29</f>
        <v>100</v>
      </c>
      <c r="V29" s="714" t="s">
        <v>17</v>
      </c>
      <c r="W29" s="715">
        <f t="shared" ref="W29:W47" si="14">J29</f>
        <v>100</v>
      </c>
      <c r="X29" s="1487"/>
      <c r="Y29" s="3483"/>
      <c r="Z29" s="1488">
        <f t="shared" ref="Z29:Z47" si="15">Q29</f>
        <v>111</v>
      </c>
      <c r="AA29" s="1485">
        <f t="shared" si="3"/>
        <v>1</v>
      </c>
      <c r="AB29" s="1485">
        <f t="shared" si="4"/>
        <v>1</v>
      </c>
      <c r="AC29" s="2095">
        <f t="shared" si="5"/>
        <v>1</v>
      </c>
    </row>
    <row r="30" spans="1:29" ht="15">
      <c r="A30" s="387"/>
      <c r="B30" s="2099">
        <v>111</v>
      </c>
      <c r="C30" s="2041"/>
      <c r="D30" s="394">
        <v>100</v>
      </c>
      <c r="E30" s="391"/>
      <c r="F30" s="394">
        <f>SUMIF(95:95,E30,96:96)-SUMIF(95:95,C30,96:96)+100</f>
        <v>100</v>
      </c>
      <c r="G30" s="2093"/>
      <c r="H30" s="394">
        <f>SUMIF(95:95,G30,96:96)-SUMIF(95:95,C30,96:96)+100</f>
        <v>100</v>
      </c>
      <c r="I30" s="391"/>
      <c r="J30" s="394">
        <f>SUMIF(95:95,I30,96:96)-SUMIF(95:95,C30,96:96)+100</f>
        <v>100</v>
      </c>
      <c r="K30" s="570"/>
      <c r="L30" s="2897"/>
      <c r="M30" s="2891"/>
      <c r="N30" s="2891"/>
      <c r="O30" s="2891"/>
      <c r="P30" s="3537"/>
      <c r="Q30" s="1484">
        <f t="shared" si="11"/>
        <v>111</v>
      </c>
      <c r="R30" s="714" t="s">
        <v>17</v>
      </c>
      <c r="S30" s="715">
        <f t="shared" si="12"/>
        <v>100</v>
      </c>
      <c r="T30" s="714" t="s">
        <v>17</v>
      </c>
      <c r="U30" s="715">
        <f t="shared" si="13"/>
        <v>100</v>
      </c>
      <c r="V30" s="714" t="s">
        <v>17</v>
      </c>
      <c r="W30" s="715">
        <f t="shared" si="14"/>
        <v>100</v>
      </c>
      <c r="X30" s="1487"/>
      <c r="Y30" s="3483"/>
      <c r="Z30" s="1488">
        <f t="shared" si="15"/>
        <v>111</v>
      </c>
      <c r="AA30" s="1485">
        <f t="shared" si="3"/>
        <v>1</v>
      </c>
      <c r="AB30" s="1485">
        <f t="shared" si="4"/>
        <v>1</v>
      </c>
      <c r="AC30" s="2095">
        <f t="shared" si="5"/>
        <v>1</v>
      </c>
    </row>
    <row r="31" spans="1:29" ht="15">
      <c r="A31" s="387"/>
      <c r="B31" s="2099">
        <v>111</v>
      </c>
      <c r="C31" s="2041"/>
      <c r="D31" s="394">
        <v>100</v>
      </c>
      <c r="E31" s="391"/>
      <c r="F31" s="394">
        <f>SUMIF(97:97,E31,98:98)-SUMIF(97:97,C31,98:98)+100</f>
        <v>100</v>
      </c>
      <c r="G31" s="2093"/>
      <c r="H31" s="394">
        <f>SUMIF(97:97,G31,98:98)-SUMIF(97:97,C31,98:98)+100</f>
        <v>100</v>
      </c>
      <c r="I31" s="391"/>
      <c r="J31" s="394">
        <f>SUMIF(97:97,I31,98:98)-SUMIF(97:97,C31,98:98)+100</f>
        <v>100</v>
      </c>
      <c r="K31" s="570"/>
      <c r="L31" s="2897"/>
      <c r="M31" s="2891"/>
      <c r="N31" s="2891"/>
      <c r="O31" s="2891"/>
      <c r="P31" s="3537"/>
      <c r="Q31" s="1484">
        <f t="shared" si="11"/>
        <v>111</v>
      </c>
      <c r="R31" s="714" t="s">
        <v>17</v>
      </c>
      <c r="S31" s="715">
        <f t="shared" si="12"/>
        <v>100</v>
      </c>
      <c r="T31" s="714" t="s">
        <v>17</v>
      </c>
      <c r="U31" s="715">
        <f t="shared" si="13"/>
        <v>100</v>
      </c>
      <c r="V31" s="714" t="s">
        <v>17</v>
      </c>
      <c r="W31" s="715">
        <f t="shared" si="14"/>
        <v>100</v>
      </c>
      <c r="X31" s="1487"/>
      <c r="Y31" s="3483"/>
      <c r="Z31" s="1488">
        <f t="shared" si="15"/>
        <v>111</v>
      </c>
      <c r="AA31" s="1485">
        <f t="shared" si="3"/>
        <v>1</v>
      </c>
      <c r="AB31" s="1485">
        <f t="shared" si="4"/>
        <v>1</v>
      </c>
      <c r="AC31" s="2095">
        <f t="shared" si="5"/>
        <v>1</v>
      </c>
    </row>
    <row r="32" spans="1:29" ht="15.75" thickBot="1">
      <c r="A32" s="395"/>
      <c r="B32" s="591">
        <v>111</v>
      </c>
      <c r="C32" s="2042"/>
      <c r="D32" s="397">
        <v>100</v>
      </c>
      <c r="E32" s="584"/>
      <c r="F32" s="397">
        <f>SUMIF(99:99,E32,100:100)-SUMIF(99:99,C32,100:100)+100</f>
        <v>100</v>
      </c>
      <c r="G32" s="2093"/>
      <c r="H32" s="397">
        <f>SUMIF(99:99,G32,100:100)-SUMIF(99:99,C32,100:100)+100</f>
        <v>100</v>
      </c>
      <c r="I32" s="391"/>
      <c r="J32" s="397">
        <f>SUMIF(99:99,I32,100:100)-SUMIF(99:99,C32,100:100)+100</f>
        <v>100</v>
      </c>
      <c r="K32" s="570"/>
      <c r="L32" s="2897"/>
      <c r="M32" s="2891"/>
      <c r="N32" s="2891"/>
      <c r="O32" s="2891"/>
      <c r="P32" s="3537"/>
      <c r="Q32" s="1484">
        <f t="shared" si="11"/>
        <v>111</v>
      </c>
      <c r="R32" s="714" t="s">
        <v>17</v>
      </c>
      <c r="S32" s="715">
        <f t="shared" si="12"/>
        <v>100</v>
      </c>
      <c r="T32" s="714" t="s">
        <v>17</v>
      </c>
      <c r="U32" s="715">
        <f t="shared" si="13"/>
        <v>100</v>
      </c>
      <c r="V32" s="714" t="s">
        <v>17</v>
      </c>
      <c r="W32" s="715">
        <f t="shared" si="14"/>
        <v>100</v>
      </c>
      <c r="X32" s="1487"/>
      <c r="Y32" s="3483"/>
      <c r="Z32" s="1488">
        <f t="shared" si="15"/>
        <v>111</v>
      </c>
      <c r="AA32" s="1485">
        <f t="shared" si="3"/>
        <v>1</v>
      </c>
      <c r="AB32" s="1485">
        <f t="shared" si="4"/>
        <v>1</v>
      </c>
      <c r="AC32" s="2095">
        <f t="shared" si="5"/>
        <v>1</v>
      </c>
    </row>
    <row r="33" spans="1:29" ht="15">
      <c r="A33" s="399" t="s">
        <v>2143</v>
      </c>
      <c r="B33" s="67" t="s">
        <v>2273</v>
      </c>
      <c r="C33" s="2100"/>
      <c r="D33" s="426">
        <v>100</v>
      </c>
      <c r="E33" s="2100"/>
      <c r="F33" s="420">
        <f>SUMIF(101:101,E33,102:102)-SUMIF(101:101,C33,102:102)+100</f>
        <v>100</v>
      </c>
      <c r="G33" s="2100"/>
      <c r="H33" s="394">
        <f>SUMIF(101:101,G33,102:102)-SUMIF(101:101,C33,102:102)+100</f>
        <v>100</v>
      </c>
      <c r="I33" s="2100"/>
      <c r="J33" s="426">
        <f>SUMIF(101:101,I33,102:102)-SUMIF(101:101,C33,102:102)+100</f>
        <v>100</v>
      </c>
      <c r="K33" s="569"/>
      <c r="L33" s="2897"/>
      <c r="M33" s="2891"/>
      <c r="N33" s="2891"/>
      <c r="O33" s="2891"/>
      <c r="P33" s="3532" t="s">
        <v>2145</v>
      </c>
      <c r="Q33" s="1484" t="str">
        <f t="shared" si="11"/>
        <v>建筑类型</v>
      </c>
      <c r="R33" s="714" t="s">
        <v>17</v>
      </c>
      <c r="S33" s="715">
        <f t="shared" si="12"/>
        <v>100</v>
      </c>
      <c r="T33" s="714" t="s">
        <v>17</v>
      </c>
      <c r="U33" s="715">
        <f t="shared" si="13"/>
        <v>100</v>
      </c>
      <c r="V33" s="714" t="s">
        <v>17</v>
      </c>
      <c r="W33" s="715">
        <f t="shared" si="14"/>
        <v>100</v>
      </c>
      <c r="X33" s="1487"/>
      <c r="Y33" s="3484" t="s">
        <v>2145</v>
      </c>
      <c r="Z33" s="1488" t="str">
        <f t="shared" si="15"/>
        <v>建筑类型</v>
      </c>
      <c r="AA33" s="1485">
        <f t="shared" si="3"/>
        <v>1</v>
      </c>
      <c r="AB33" s="1485">
        <f t="shared" si="4"/>
        <v>1</v>
      </c>
      <c r="AC33" s="2095">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533"/>
      <c r="Q34" s="716" t="str">
        <f t="shared" si="11"/>
        <v>项目建筑规模</v>
      </c>
      <c r="R34" s="717" t="s">
        <v>17</v>
      </c>
      <c r="S34" s="718" t="e">
        <f t="shared" si="12"/>
        <v>#N/A</v>
      </c>
      <c r="T34" s="717" t="s">
        <v>17</v>
      </c>
      <c r="U34" s="718" t="e">
        <f t="shared" si="13"/>
        <v>#N/A</v>
      </c>
      <c r="V34" s="717" t="s">
        <v>17</v>
      </c>
      <c r="W34" s="718" t="e">
        <f t="shared" si="14"/>
        <v>#N/A</v>
      </c>
      <c r="X34" s="719"/>
      <c r="Y34" s="3484"/>
      <c r="Z34" s="720" t="str">
        <f t="shared" si="15"/>
        <v>项目建筑规模</v>
      </c>
      <c r="AA34" s="1485" t="e">
        <f t="shared" si="3"/>
        <v>#N/A</v>
      </c>
      <c r="AB34" s="1485" t="e">
        <f t="shared" si="4"/>
        <v>#N/A</v>
      </c>
      <c r="AC34" s="2095"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533"/>
      <c r="Q35" s="1484" t="str">
        <f t="shared" si="11"/>
        <v>建筑结构</v>
      </c>
      <c r="R35" s="714" t="s">
        <v>17</v>
      </c>
      <c r="S35" s="715">
        <f t="shared" si="12"/>
        <v>100</v>
      </c>
      <c r="T35" s="714" t="s">
        <v>17</v>
      </c>
      <c r="U35" s="715">
        <f t="shared" si="13"/>
        <v>100</v>
      </c>
      <c r="V35" s="714" t="s">
        <v>17</v>
      </c>
      <c r="W35" s="715">
        <f t="shared" si="14"/>
        <v>100</v>
      </c>
      <c r="X35" s="1487"/>
      <c r="Y35" s="3484"/>
      <c r="Z35" s="1488" t="str">
        <f t="shared" si="15"/>
        <v>建筑结构</v>
      </c>
      <c r="AA35" s="1485">
        <f t="shared" si="3"/>
        <v>1</v>
      </c>
      <c r="AB35" s="1485">
        <f t="shared" si="4"/>
        <v>1</v>
      </c>
      <c r="AC35" s="2095">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533"/>
      <c r="Q36" s="1484" t="str">
        <f t="shared" si="11"/>
        <v>公共部分装修</v>
      </c>
      <c r="R36" s="714" t="s">
        <v>17</v>
      </c>
      <c r="S36" s="715">
        <f t="shared" si="12"/>
        <v>100</v>
      </c>
      <c r="T36" s="714" t="s">
        <v>17</v>
      </c>
      <c r="U36" s="715">
        <f t="shared" si="13"/>
        <v>100</v>
      </c>
      <c r="V36" s="714" t="s">
        <v>17</v>
      </c>
      <c r="W36" s="715">
        <f t="shared" si="14"/>
        <v>100</v>
      </c>
      <c r="X36" s="1487"/>
      <c r="Y36" s="3484"/>
      <c r="Z36" s="1488" t="str">
        <f t="shared" si="15"/>
        <v>公共部分装修</v>
      </c>
      <c r="AA36" s="1485">
        <f t="shared" si="3"/>
        <v>1</v>
      </c>
      <c r="AB36" s="1485">
        <f t="shared" si="4"/>
        <v>1</v>
      </c>
      <c r="AC36" s="2095">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533"/>
      <c r="Q37" s="1484" t="str">
        <f t="shared" si="11"/>
        <v>成新度</v>
      </c>
      <c r="R37" s="714" t="s">
        <v>17</v>
      </c>
      <c r="S37" s="715" t="e">
        <f t="shared" si="12"/>
        <v>#N/A</v>
      </c>
      <c r="T37" s="714" t="s">
        <v>17</v>
      </c>
      <c r="U37" s="715" t="e">
        <f t="shared" si="13"/>
        <v>#N/A</v>
      </c>
      <c r="V37" s="714" t="s">
        <v>17</v>
      </c>
      <c r="W37" s="715" t="e">
        <f t="shared" si="14"/>
        <v>#N/A</v>
      </c>
      <c r="X37" s="1487"/>
      <c r="Y37" s="3484"/>
      <c r="Z37" s="1488" t="str">
        <f t="shared" si="15"/>
        <v>成新度</v>
      </c>
      <c r="AA37" s="1485" t="e">
        <f t="shared" si="3"/>
        <v>#N/A</v>
      </c>
      <c r="AB37" s="1485" t="e">
        <f t="shared" si="4"/>
        <v>#N/A</v>
      </c>
      <c r="AC37" s="2095"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533"/>
      <c r="Q38" s="1475" t="str">
        <f t="shared" si="11"/>
        <v>写字楼等级</v>
      </c>
      <c r="R38" s="710" t="s">
        <v>17</v>
      </c>
      <c r="S38" s="711">
        <f t="shared" si="12"/>
        <v>100</v>
      </c>
      <c r="T38" s="710" t="s">
        <v>17</v>
      </c>
      <c r="U38" s="711">
        <f t="shared" si="13"/>
        <v>100</v>
      </c>
      <c r="V38" s="710" t="s">
        <v>17</v>
      </c>
      <c r="W38" s="711">
        <f t="shared" si="14"/>
        <v>100</v>
      </c>
      <c r="X38" s="712"/>
      <c r="Y38" s="3484"/>
      <c r="Z38" s="55" t="str">
        <f t="shared" si="15"/>
        <v>写字楼等级</v>
      </c>
      <c r="AA38" s="713">
        <f t="shared" si="3"/>
        <v>1</v>
      </c>
      <c r="AB38" s="713">
        <f t="shared" si="4"/>
        <v>1</v>
      </c>
      <c r="AC38" s="2092">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533" t="s">
        <v>2145</v>
      </c>
      <c r="Q39" s="1484" t="str">
        <f t="shared" si="11"/>
        <v>物业管理</v>
      </c>
      <c r="R39" s="714" t="s">
        <v>17</v>
      </c>
      <c r="S39" s="715">
        <f t="shared" si="12"/>
        <v>100</v>
      </c>
      <c r="T39" s="714" t="s">
        <v>17</v>
      </c>
      <c r="U39" s="715">
        <f t="shared" si="13"/>
        <v>100</v>
      </c>
      <c r="V39" s="714" t="s">
        <v>17</v>
      </c>
      <c r="W39" s="715">
        <f t="shared" si="14"/>
        <v>100</v>
      </c>
      <c r="X39" s="1487"/>
      <c r="Y39" s="3484" t="s">
        <v>2145</v>
      </c>
      <c r="Z39" s="1488" t="str">
        <f t="shared" si="15"/>
        <v>物业管理</v>
      </c>
      <c r="AA39" s="1485">
        <f t="shared" si="3"/>
        <v>1</v>
      </c>
      <c r="AB39" s="1485">
        <f t="shared" si="4"/>
        <v>1</v>
      </c>
      <c r="AC39" s="2095">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533"/>
      <c r="Q40" s="1484" t="str">
        <f t="shared" si="11"/>
        <v>市政基础设施</v>
      </c>
      <c r="R40" s="714" t="s">
        <v>17</v>
      </c>
      <c r="S40" s="715">
        <f t="shared" si="12"/>
        <v>100</v>
      </c>
      <c r="T40" s="714" t="s">
        <v>17</v>
      </c>
      <c r="U40" s="715">
        <f t="shared" si="13"/>
        <v>100</v>
      </c>
      <c r="V40" s="714" t="s">
        <v>17</v>
      </c>
      <c r="W40" s="715">
        <f t="shared" si="14"/>
        <v>100</v>
      </c>
      <c r="X40" s="1487"/>
      <c r="Y40" s="3484"/>
      <c r="Z40" s="1488" t="str">
        <f t="shared" si="15"/>
        <v>市政基础设施</v>
      </c>
      <c r="AA40" s="1485">
        <f t="shared" si="3"/>
        <v>1</v>
      </c>
      <c r="AB40" s="1485">
        <f t="shared" si="4"/>
        <v>1</v>
      </c>
      <c r="AC40" s="2095">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533"/>
      <c r="Q41" s="1484" t="str">
        <f t="shared" si="11"/>
        <v>层高</v>
      </c>
      <c r="R41" s="714" t="s">
        <v>17</v>
      </c>
      <c r="S41" s="715">
        <f t="shared" si="12"/>
        <v>100</v>
      </c>
      <c r="T41" s="714" t="s">
        <v>17</v>
      </c>
      <c r="U41" s="715">
        <f t="shared" si="13"/>
        <v>100</v>
      </c>
      <c r="V41" s="714" t="s">
        <v>17</v>
      </c>
      <c r="W41" s="715">
        <f t="shared" si="14"/>
        <v>100</v>
      </c>
      <c r="X41" s="1487"/>
      <c r="Y41" s="3484"/>
      <c r="Z41" s="1488" t="str">
        <f t="shared" si="15"/>
        <v>层高</v>
      </c>
      <c r="AA41" s="1485">
        <f t="shared" si="3"/>
        <v>1</v>
      </c>
      <c r="AB41" s="1485">
        <f t="shared" si="4"/>
        <v>1</v>
      </c>
      <c r="AC41" s="2095">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533"/>
      <c r="Q42" s="716" t="str">
        <f t="shared" si="11"/>
        <v>单套建筑面积</v>
      </c>
      <c r="R42" s="717" t="s">
        <v>17</v>
      </c>
      <c r="S42" s="718">
        <f t="shared" si="12"/>
        <v>100</v>
      </c>
      <c r="T42" s="717" t="s">
        <v>17</v>
      </c>
      <c r="U42" s="718">
        <f t="shared" si="13"/>
        <v>100</v>
      </c>
      <c r="V42" s="717" t="s">
        <v>17</v>
      </c>
      <c r="W42" s="718">
        <f t="shared" si="14"/>
        <v>100</v>
      </c>
      <c r="X42" s="719"/>
      <c r="Y42" s="3484"/>
      <c r="Z42" s="720" t="str">
        <f t="shared" si="15"/>
        <v>单套建筑面积</v>
      </c>
      <c r="AA42" s="1485">
        <f t="shared" si="3"/>
        <v>1</v>
      </c>
      <c r="AB42" s="1485">
        <f t="shared" si="4"/>
        <v>1</v>
      </c>
      <c r="AC42" s="2095">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533"/>
      <c r="Q43" s="1484" t="str">
        <f t="shared" si="11"/>
        <v>内部装修</v>
      </c>
      <c r="R43" s="714" t="s">
        <v>17</v>
      </c>
      <c r="S43" s="715">
        <f t="shared" si="12"/>
        <v>100</v>
      </c>
      <c r="T43" s="714" t="s">
        <v>17</v>
      </c>
      <c r="U43" s="715">
        <f t="shared" si="13"/>
        <v>100</v>
      </c>
      <c r="V43" s="714" t="s">
        <v>17</v>
      </c>
      <c r="W43" s="715">
        <f t="shared" si="14"/>
        <v>100</v>
      </c>
      <c r="X43" s="1487"/>
      <c r="Y43" s="3484"/>
      <c r="Z43" s="1488" t="str">
        <f t="shared" si="15"/>
        <v>内部装修</v>
      </c>
      <c r="AA43" s="1485">
        <f t="shared" si="3"/>
        <v>1</v>
      </c>
      <c r="AB43" s="1485">
        <f t="shared" si="4"/>
        <v>1</v>
      </c>
      <c r="AC43" s="2095">
        <f t="shared" si="5"/>
        <v>1</v>
      </c>
    </row>
    <row r="44" spans="1:29" ht="15">
      <c r="A44" s="431"/>
      <c r="B44" s="381" t="s">
        <v>2156</v>
      </c>
      <c r="C44" s="419"/>
      <c r="D44" s="394">
        <v>100</v>
      </c>
      <c r="E44" s="2039"/>
      <c r="F44" s="420">
        <f>SUMIF(125:125,E44,126:126)-SUMIF(125:125,C44,126:126)+100</f>
        <v>100</v>
      </c>
      <c r="G44" s="2039"/>
      <c r="H44" s="394">
        <f>SUMIF(125:125,G44,126:126)-SUMIF(125:125,C44,126:126)+100</f>
        <v>100</v>
      </c>
      <c r="I44" s="2039"/>
      <c r="J44" s="394">
        <f>SUMIF(125:125,I44,126:126)-SUMIF(125:125,C44,126:126)+100</f>
        <v>100</v>
      </c>
      <c r="K44" s="569"/>
      <c r="L44" s="2897"/>
      <c r="M44" s="2891"/>
      <c r="N44" s="2891"/>
      <c r="O44" s="2891"/>
      <c r="P44" s="3533"/>
      <c r="Q44" s="1484" t="str">
        <f t="shared" si="11"/>
        <v>内部装修维护情况</v>
      </c>
      <c r="R44" s="714" t="s">
        <v>17</v>
      </c>
      <c r="S44" s="715">
        <f t="shared" si="12"/>
        <v>100</v>
      </c>
      <c r="T44" s="714" t="s">
        <v>17</v>
      </c>
      <c r="U44" s="715">
        <f t="shared" si="13"/>
        <v>100</v>
      </c>
      <c r="V44" s="714" t="s">
        <v>17</v>
      </c>
      <c r="W44" s="715">
        <f t="shared" si="14"/>
        <v>100</v>
      </c>
      <c r="X44" s="1487"/>
      <c r="Y44" s="3484"/>
      <c r="Z44" s="1488" t="str">
        <f t="shared" si="15"/>
        <v>内部装修维护情况</v>
      </c>
      <c r="AA44" s="1485">
        <f t="shared" si="3"/>
        <v>1</v>
      </c>
      <c r="AB44" s="1485">
        <f t="shared" si="4"/>
        <v>1</v>
      </c>
      <c r="AC44" s="2095">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533"/>
      <c r="Q45" s="1475">
        <f t="shared" si="11"/>
        <v>111</v>
      </c>
      <c r="R45" s="710" t="s">
        <v>17</v>
      </c>
      <c r="S45" s="711">
        <f t="shared" si="12"/>
        <v>100</v>
      </c>
      <c r="T45" s="710" t="s">
        <v>17</v>
      </c>
      <c r="U45" s="711">
        <f t="shared" si="13"/>
        <v>100</v>
      </c>
      <c r="V45" s="710" t="s">
        <v>17</v>
      </c>
      <c r="W45" s="711">
        <f t="shared" si="14"/>
        <v>100</v>
      </c>
      <c r="X45" s="712"/>
      <c r="Y45" s="3484"/>
      <c r="Z45" s="55">
        <f t="shared" si="15"/>
        <v>111</v>
      </c>
      <c r="AA45" s="713">
        <f t="shared" si="3"/>
        <v>1</v>
      </c>
      <c r="AB45" s="713">
        <f t="shared" si="4"/>
        <v>1</v>
      </c>
      <c r="AC45" s="2092">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533"/>
      <c r="Q46" s="1484">
        <f t="shared" si="11"/>
        <v>111</v>
      </c>
      <c r="R46" s="714" t="s">
        <v>17</v>
      </c>
      <c r="S46" s="715">
        <f t="shared" si="12"/>
        <v>100</v>
      </c>
      <c r="T46" s="714" t="s">
        <v>17</v>
      </c>
      <c r="U46" s="715">
        <f t="shared" si="13"/>
        <v>100</v>
      </c>
      <c r="V46" s="714" t="s">
        <v>17</v>
      </c>
      <c r="W46" s="715">
        <f t="shared" si="14"/>
        <v>100</v>
      </c>
      <c r="X46" s="1487"/>
      <c r="Y46" s="3484"/>
      <c r="Z46" s="1488">
        <f t="shared" si="15"/>
        <v>111</v>
      </c>
      <c r="AA46" s="1485">
        <f t="shared" si="3"/>
        <v>1</v>
      </c>
      <c r="AB46" s="1485">
        <f t="shared" si="4"/>
        <v>1</v>
      </c>
      <c r="AC46" s="2095">
        <f t="shared" si="5"/>
        <v>1</v>
      </c>
    </row>
    <row r="47" spans="1:29" ht="15.75" thickBot="1">
      <c r="A47" s="437"/>
      <c r="B47" s="202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534"/>
      <c r="Q47" s="1484">
        <f t="shared" si="11"/>
        <v>111</v>
      </c>
      <c r="R47" s="714" t="s">
        <v>17</v>
      </c>
      <c r="S47" s="715">
        <f t="shared" si="12"/>
        <v>100</v>
      </c>
      <c r="T47" s="714" t="s">
        <v>17</v>
      </c>
      <c r="U47" s="715">
        <f t="shared" si="13"/>
        <v>100</v>
      </c>
      <c r="V47" s="714" t="s">
        <v>17</v>
      </c>
      <c r="W47" s="715">
        <f t="shared" si="14"/>
        <v>100</v>
      </c>
      <c r="X47" s="1487"/>
      <c r="Y47" s="3535"/>
      <c r="Z47" s="1488">
        <f t="shared" si="15"/>
        <v>111</v>
      </c>
      <c r="AA47" s="1485">
        <f t="shared" si="3"/>
        <v>1</v>
      </c>
      <c r="AB47" s="1485">
        <f t="shared" si="4"/>
        <v>1</v>
      </c>
      <c r="AC47" s="2095">
        <f t="shared" si="5"/>
        <v>1</v>
      </c>
    </row>
    <row r="48" spans="1:29" ht="15">
      <c r="A48" s="438" t="s">
        <v>2157</v>
      </c>
      <c r="B48" s="439"/>
      <c r="C48" s="1266" t="s">
        <v>1</v>
      </c>
      <c r="D48" s="1267"/>
      <c r="E48" s="1268"/>
      <c r="F48" s="1269"/>
      <c r="G48" s="1270"/>
      <c r="H48" s="1271"/>
      <c r="I48" s="1268"/>
      <c r="J48" s="444"/>
      <c r="K48" s="723"/>
      <c r="L48" s="2899"/>
      <c r="M48" s="2891"/>
      <c r="N48" s="2891"/>
      <c r="O48" s="2891"/>
      <c r="P48" s="3464" t="str">
        <f>A48</f>
        <v>成交单价（元/平方米）</v>
      </c>
      <c r="Q48" s="3465"/>
      <c r="R48" s="3531">
        <f>E48</f>
        <v>0</v>
      </c>
      <c r="S48" s="3531"/>
      <c r="T48" s="3531">
        <f>G48</f>
        <v>0</v>
      </c>
      <c r="U48" s="3531"/>
      <c r="V48" s="3531">
        <f>I48</f>
        <v>0</v>
      </c>
      <c r="W48" s="3531"/>
      <c r="X48" s="405"/>
      <c r="Y48" s="721"/>
      <c r="Z48" s="405"/>
      <c r="AA48" s="405"/>
      <c r="AB48" s="405"/>
      <c r="AC48" s="586"/>
    </row>
    <row r="49" spans="1:29" ht="15.75" thickBot="1">
      <c r="A49" s="445" t="s">
        <v>2249</v>
      </c>
      <c r="B49" s="446"/>
      <c r="C49" s="1272" t="e">
        <f>R50</f>
        <v>#DIV/0!</v>
      </c>
      <c r="D49" s="2485" t="s">
        <v>2638</v>
      </c>
      <c r="E49" s="1273" t="e">
        <f>R49</f>
        <v>#DIV/0!</v>
      </c>
      <c r="F49" s="2486"/>
      <c r="G49" s="1272" t="e">
        <f>T49</f>
        <v>#DIV/0!</v>
      </c>
      <c r="H49" s="2486"/>
      <c r="I49" s="1273" t="e">
        <f>V49</f>
        <v>#DIV/0!</v>
      </c>
      <c r="J49" s="2486"/>
      <c r="K49" s="2488">
        <f>F49+H49+J49</f>
        <v>0</v>
      </c>
      <c r="L49" s="2899"/>
      <c r="M49" s="2891"/>
      <c r="N49" s="2891"/>
      <c r="O49" s="2891"/>
      <c r="P49" s="3464" t="str">
        <f>A49</f>
        <v>比较价值（元/平方米）</v>
      </c>
      <c r="Q49" s="3465"/>
      <c r="R49" s="3531" t="e">
        <f>IF(F1="售价",ROUND(PRODUCT(R48,AA7:AA47),0),ROUND(PRODUCT(R48,AA7:AA47),1))</f>
        <v>#DIV/0!</v>
      </c>
      <c r="S49" s="3531"/>
      <c r="T49" s="3531" t="e">
        <f>IF(F1="售价",ROUND(PRODUCT(T48,AB7:AB47),0),ROUND(PRODUCT(T48,AB7:AB47),1))</f>
        <v>#DIV/0!</v>
      </c>
      <c r="U49" s="3531"/>
      <c r="V49" s="3531" t="e">
        <f>IF(F1="售价",ROUND(PRODUCT(V48,AC7:AC47),0),ROUND(PRODUCT(V48,AC7:AC47),1))</f>
        <v>#DIV/0!</v>
      </c>
      <c r="W49" s="3531"/>
      <c r="X49" s="405"/>
      <c r="Y49" s="405"/>
      <c r="Z49" s="405"/>
      <c r="AA49" s="405"/>
      <c r="AB49" s="405"/>
      <c r="AC49" s="586"/>
    </row>
    <row r="50" spans="1:29" ht="15.75" thickBot="1">
      <c r="A50" s="449" t="s">
        <v>2250</v>
      </c>
      <c r="B50" s="450"/>
      <c r="C50" s="1275" t="e">
        <f>R50</f>
        <v>#DIV/0!</v>
      </c>
      <c r="D50" s="1275"/>
      <c r="E50" s="1275"/>
      <c r="F50" s="1275"/>
      <c r="G50" s="1275"/>
      <c r="H50" s="1275"/>
      <c r="I50" s="1275"/>
      <c r="J50" s="451"/>
      <c r="K50" s="724"/>
      <c r="L50" s="2899"/>
      <c r="M50" s="2891"/>
      <c r="N50" s="2891"/>
      <c r="O50" s="2891"/>
      <c r="P50" s="3542" t="str">
        <f>A50</f>
        <v>估价对象XX用房的比较价值（楼面单价，元/平方米）</v>
      </c>
      <c r="Q50" s="3543"/>
      <c r="R50" s="3544" t="e">
        <f>IF(F1="售价",ROUND(IF(D49="简单平均",AVERAGE(R49:V49),R49*F49+T49*H49+V49*J49),0),ROUND(IF(D49="简单平均",AVERAGE(R49:V49),R49*F49+T49*H49+V49*J49),1))</f>
        <v>#DIV/0!</v>
      </c>
      <c r="S50" s="3544"/>
      <c r="T50" s="3544"/>
      <c r="U50" s="3544"/>
      <c r="V50" s="3544"/>
      <c r="W50" s="3544"/>
      <c r="X50" s="2079"/>
      <c r="Y50" s="2079"/>
      <c r="Z50" s="2079"/>
      <c r="AA50" s="2079"/>
      <c r="AB50" s="2079"/>
      <c r="AC50" s="2080"/>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2254</v>
      </c>
      <c r="B58" s="699"/>
      <c r="C58" s="704"/>
      <c r="D58" s="704"/>
      <c r="E58" s="704"/>
      <c r="F58" s="705"/>
      <c r="G58" s="705"/>
      <c r="H58" s="704"/>
      <c r="I58" s="704"/>
      <c r="J58" s="704"/>
      <c r="K58" s="706"/>
      <c r="L58" s="1051"/>
      <c r="M58" s="1049"/>
      <c r="N58" s="2944"/>
      <c r="O58" s="2944"/>
      <c r="P58" s="2933"/>
      <c r="Q58" s="2914"/>
      <c r="R58" s="2900"/>
      <c r="S58" s="2900"/>
      <c r="T58" s="2900"/>
      <c r="U58" s="2900"/>
      <c r="V58" s="2900"/>
      <c r="W58" s="2900"/>
      <c r="X58" s="2900"/>
      <c r="Y58" s="2900"/>
      <c r="Z58" s="2900"/>
      <c r="AA58" s="2900"/>
      <c r="AB58" s="2900"/>
      <c r="AC58" s="2900"/>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4"/>
      <c r="Q59" s="2916"/>
      <c r="R59" s="2916"/>
      <c r="S59" s="2916"/>
      <c r="T59" s="2916"/>
      <c r="U59" s="2916"/>
      <c r="V59" s="2916"/>
      <c r="W59" s="2916"/>
      <c r="X59" s="2916"/>
      <c r="Y59" s="2916"/>
      <c r="Z59" s="2916"/>
      <c r="AA59" s="2916"/>
      <c r="AB59" s="2916"/>
      <c r="AC59" s="2916"/>
    </row>
    <row r="60" spans="1:29" s="113" customFormat="1" ht="15">
      <c r="A60" s="466"/>
      <c r="B60" s="467"/>
      <c r="C60" s="1295">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2139</v>
      </c>
      <c r="B77" s="485" t="s">
        <v>2277</v>
      </c>
      <c r="C77" s="530" t="s">
        <v>2177</v>
      </c>
      <c r="D77" s="530" t="s">
        <v>2178</v>
      </c>
      <c r="E77" s="530" t="s">
        <v>2179</v>
      </c>
      <c r="F77" s="530" t="s">
        <v>2180</v>
      </c>
      <c r="G77" s="530" t="s">
        <v>2181</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2182</v>
      </c>
      <c r="C79" s="535" t="s">
        <v>2177</v>
      </c>
      <c r="D79" s="535" t="s">
        <v>2178</v>
      </c>
      <c r="E79" s="535" t="s">
        <v>2179</v>
      </c>
      <c r="F79" s="535" t="s">
        <v>2180</v>
      </c>
      <c r="G79" s="535" t="s">
        <v>2181</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2183</v>
      </c>
      <c r="C81" s="535" t="s">
        <v>2177</v>
      </c>
      <c r="D81" s="535" t="s">
        <v>2178</v>
      </c>
      <c r="E81" s="535" t="s">
        <v>2179</v>
      </c>
      <c r="F81" s="535" t="s">
        <v>2180</v>
      </c>
      <c r="G81" s="535" t="s">
        <v>2181</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2269</v>
      </c>
      <c r="C83" s="616" t="s">
        <v>2255</v>
      </c>
      <c r="D83" s="616" t="s">
        <v>2256</v>
      </c>
      <c r="E83" s="616" t="s">
        <v>2257</v>
      </c>
      <c r="F83" s="616" t="s">
        <v>2258</v>
      </c>
      <c r="G83" s="616" t="s">
        <v>2259</v>
      </c>
      <c r="H83" s="496"/>
      <c r="I83" s="496"/>
      <c r="J83" s="496"/>
      <c r="K83" s="496"/>
      <c r="L83" s="496"/>
      <c r="M83" s="1241"/>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2278</v>
      </c>
      <c r="C85" s="535" t="s">
        <v>2177</v>
      </c>
      <c r="D85" s="535" t="s">
        <v>2178</v>
      </c>
      <c r="E85" s="535" t="s">
        <v>2179</v>
      </c>
      <c r="F85" s="535" t="s">
        <v>2180</v>
      </c>
      <c r="G85" s="535" t="s">
        <v>2181</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2279</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0"/>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1"/>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2143</v>
      </c>
      <c r="B101" s="485" t="s">
        <v>2192</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2194</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2196</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2280</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2197</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2198</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2281</v>
      </c>
      <c r="C119" s="540"/>
      <c r="D119" s="540"/>
      <c r="E119" s="540"/>
      <c r="F119" s="540"/>
      <c r="G119" s="540"/>
      <c r="H119" s="540"/>
      <c r="I119" s="540"/>
      <c r="J119" s="540"/>
      <c r="K119" s="540"/>
      <c r="L119" s="2101"/>
      <c r="M119" s="2102"/>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2264</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2200</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1"/>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115" zoomScaleNormal="60" zoomScaleSheetLayoutView="115" workbookViewId="0">
      <selection activeCell="G2" sqref="G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0" t="s">
        <v>2282</v>
      </c>
      <c r="C1" s="1342" t="s">
        <v>2110</v>
      </c>
      <c r="D1" s="1343" t="s">
        <v>6</v>
      </c>
      <c r="E1" s="1352"/>
      <c r="F1" s="2012" t="s">
        <v>3194</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IF(C2="——",ROUND(C43*D3/10000,0),ROUND(C43*D3/10000,0)-D2)</f>
        <v>#DIV/0!</v>
      </c>
      <c r="C2" s="2014" t="s">
        <v>70</v>
      </c>
      <c r="D2" s="1016" t="e">
        <f ca="1">SUMIF(INDIRECT("'"&amp;F2&amp;"'"&amp;"!A:A"),"承租人权益价值",INDIRECT("'"&amp;F2&amp;"'"&amp;"!c:c"))</f>
        <v>#REF!</v>
      </c>
      <c r="E2" s="2015" t="s">
        <v>1908</v>
      </c>
      <c r="F2" s="2016"/>
      <c r="G2" s="1017"/>
      <c r="H2" s="1017"/>
      <c r="I2" s="1017"/>
      <c r="J2" s="1017"/>
      <c r="K2" s="1017"/>
      <c r="L2" s="1020"/>
      <c r="M2" s="1021"/>
      <c r="N2" s="1021"/>
      <c r="O2" s="1021"/>
      <c r="P2" s="708"/>
      <c r="Q2" s="708"/>
      <c r="R2" s="708"/>
      <c r="S2" s="708"/>
      <c r="T2" s="708"/>
      <c r="U2" s="708"/>
      <c r="V2" s="708"/>
      <c r="W2" s="708"/>
      <c r="X2" s="708"/>
      <c r="Y2" s="708"/>
      <c r="Z2" s="708"/>
      <c r="AA2" s="708"/>
      <c r="AB2" s="708"/>
      <c r="AC2" s="722"/>
    </row>
    <row r="3" spans="1:29" s="358" customFormat="1" ht="28.5" customHeight="1" thickBot="1">
      <c r="A3" s="209" t="s">
        <v>1909</v>
      </c>
      <c r="B3" s="566" t="e">
        <f>IF(C2="——",C43,ROUND(B2*10000/D3,0))</f>
        <v>#DIV/0!</v>
      </c>
      <c r="C3" s="360" t="s">
        <v>2224</v>
      </c>
      <c r="D3" s="359">
        <f>IF(D1="",'数据-汇总表'!E3,SUMIF('数据-汇总表'!$C19:$C33,D1,'数据-汇总表'!$E19:$E33))</f>
        <v>0</v>
      </c>
      <c r="E3" s="1017"/>
      <c r="F3" s="1018"/>
      <c r="G3" s="1017"/>
      <c r="H3" s="1017"/>
      <c r="I3" s="1017"/>
      <c r="J3" s="1017"/>
      <c r="K3" s="1019"/>
      <c r="L3" s="1020"/>
      <c r="M3" s="1021"/>
      <c r="N3" s="1021"/>
      <c r="O3" s="1021"/>
      <c r="P3" s="708"/>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1022"/>
      <c r="M4" s="1023"/>
      <c r="N4" s="1023"/>
      <c r="O4" s="1023"/>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1022"/>
      <c r="M5" s="1023"/>
      <c r="N5" s="1023"/>
      <c r="O5" s="1023"/>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567" t="s">
        <v>2127</v>
      </c>
      <c r="L6" s="1022"/>
      <c r="M6" s="1023"/>
      <c r="N6" s="1023"/>
      <c r="O6" s="1023"/>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44788</v>
      </c>
      <c r="D7" s="371">
        <v>100</v>
      </c>
      <c r="E7" s="372">
        <v>44743</v>
      </c>
      <c r="F7" s="373">
        <f>SUMIF(52:52,YEAR(E7)&amp;"-"&amp;MONTH(E7),53:53)</f>
        <v>0</v>
      </c>
      <c r="G7" s="372">
        <v>44743</v>
      </c>
      <c r="H7" s="371">
        <f>SUMIF(52:52,YEAR(G7)&amp;"-"&amp;MONTH(G7),53:53)</f>
        <v>0</v>
      </c>
      <c r="I7" s="372">
        <v>44743</v>
      </c>
      <c r="J7" s="371">
        <f>SUMIF(52:52,YEAR(I7)&amp;"-"&amp;MONTH(I7),53:53)</f>
        <v>0</v>
      </c>
      <c r="K7" s="568"/>
      <c r="L7" s="1024"/>
      <c r="M7" s="1025"/>
      <c r="N7" s="1025"/>
      <c r="O7" s="1025"/>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374" t="s">
        <v>2131</v>
      </c>
      <c r="F8" s="373">
        <f>SUMIF(55:55,E8,56:56)-SUMIF(55:55,C8,56:56)+100</f>
        <v>100</v>
      </c>
      <c r="G8" s="374" t="s">
        <v>2131</v>
      </c>
      <c r="H8" s="371">
        <f>SUMIF(55:55,G8,56:56)-SUMIF(55:55,C8,56:56)+100</f>
        <v>100</v>
      </c>
      <c r="I8" s="374" t="s">
        <v>2131</v>
      </c>
      <c r="J8" s="371">
        <f>SUMIF(55:55,I8,56:56)-SUMIF(55:55,C8,56:56)+100</f>
        <v>100</v>
      </c>
      <c r="K8" s="568"/>
      <c r="L8" s="1024"/>
      <c r="M8" s="1025"/>
      <c r="N8" s="1025"/>
      <c r="O8" s="1025"/>
      <c r="P8" s="3466" t="s">
        <v>2132</v>
      </c>
      <c r="Q8" s="3467"/>
      <c r="R8" s="710" t="s">
        <v>17</v>
      </c>
      <c r="S8" s="711">
        <f t="shared" si="0"/>
        <v>100</v>
      </c>
      <c r="T8" s="710" t="s">
        <v>17</v>
      </c>
      <c r="U8" s="711">
        <f t="shared" si="1"/>
        <v>100</v>
      </c>
      <c r="V8" s="710" t="s">
        <v>17</v>
      </c>
      <c r="W8" s="711">
        <f t="shared" si="2"/>
        <v>100</v>
      </c>
      <c r="X8" s="712"/>
      <c r="Y8" s="3466" t="s">
        <v>2132</v>
      </c>
      <c r="Z8" s="3467"/>
      <c r="AA8" s="713">
        <f t="shared" ref="AA8:AA40" si="3">D8/F8</f>
        <v>1</v>
      </c>
      <c r="AB8" s="713">
        <f t="shared" ref="AB8:AB40" si="4">D8/H8</f>
        <v>1</v>
      </c>
      <c r="AC8" s="713">
        <f t="shared" ref="AC8:AC40" si="5">D8/J8</f>
        <v>1</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465"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465"/>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v>1</v>
      </c>
      <c r="D11" s="132">
        <v>100</v>
      </c>
      <c r="E11" s="388">
        <v>1</v>
      </c>
      <c r="F11" s="132">
        <f>LOOKUP(E11,62:62,63:63)-LOOKUP(C11,62:62,63:63)+100</f>
        <v>100</v>
      </c>
      <c r="G11" s="389">
        <v>1</v>
      </c>
      <c r="H11" s="132">
        <f>LOOKUP(G11,62:62,63:63)-LOOKUP(C11,62:62,63:63)+100</f>
        <v>100</v>
      </c>
      <c r="I11" s="388">
        <v>1</v>
      </c>
      <c r="J11" s="132">
        <f>LOOKUP(I11,62:62,63:63)-LOOKUP(C11,62:62,63:63)+100</f>
        <v>100</v>
      </c>
      <c r="K11" s="569"/>
      <c r="L11" s="1030"/>
      <c r="M11" s="1023"/>
      <c r="N11" s="1023"/>
      <c r="O11" s="1031"/>
      <c r="P11" s="3465"/>
      <c r="Q11" s="1475" t="str">
        <f t="shared" si="6"/>
        <v>容积率</v>
      </c>
      <c r="R11" s="710" t="s">
        <v>17</v>
      </c>
      <c r="S11" s="711">
        <f t="shared" si="0"/>
        <v>100</v>
      </c>
      <c r="T11" s="710" t="s">
        <v>17</v>
      </c>
      <c r="U11" s="711">
        <f t="shared" si="1"/>
        <v>100</v>
      </c>
      <c r="V11" s="710" t="s">
        <v>17</v>
      </c>
      <c r="W11" s="711">
        <f t="shared" si="2"/>
        <v>100</v>
      </c>
      <c r="X11" s="712"/>
      <c r="Y11" s="3363"/>
      <c r="Z11" s="55" t="str">
        <f t="shared" si="7"/>
        <v>容积率</v>
      </c>
      <c r="AA11" s="713">
        <f t="shared" si="3"/>
        <v>1</v>
      </c>
      <c r="AB11" s="713">
        <f t="shared" si="4"/>
        <v>1</v>
      </c>
      <c r="AC11" s="713">
        <f t="shared" si="5"/>
        <v>1</v>
      </c>
    </row>
    <row r="12" spans="1:29" s="113" customFormat="1" ht="15">
      <c r="A12" s="390"/>
      <c r="B12" s="2026">
        <v>111</v>
      </c>
      <c r="C12" s="391"/>
      <c r="D12" s="392">
        <v>100</v>
      </c>
      <c r="E12" s="393"/>
      <c r="F12" s="132">
        <f>SUMIF(64:64,E12,65:65)-SUMIF(64:64,C12,65:65)+100</f>
        <v>100</v>
      </c>
      <c r="G12" s="2103"/>
      <c r="H12" s="132">
        <f>SUMIF(64:64,G12,65:65)-SUMIF(64:64,C12,65:65)+100</f>
        <v>100</v>
      </c>
      <c r="I12" s="428"/>
      <c r="J12" s="132">
        <f>SUMIF(64:64,I12,65:65)-SUMIF(64:64,C12,65:65)+100</f>
        <v>100</v>
      </c>
      <c r="K12" s="570"/>
      <c r="L12" s="1024"/>
      <c r="M12" s="1025"/>
      <c r="N12" s="1025"/>
      <c r="O12" s="1026"/>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6">
        <v>111</v>
      </c>
      <c r="C13" s="393"/>
      <c r="D13" s="394">
        <v>100</v>
      </c>
      <c r="E13" s="393"/>
      <c r="F13" s="132">
        <f>SUMIF(66:66,E13,67:67)-SUMIF(66:66,C13,67:67)+100</f>
        <v>100</v>
      </c>
      <c r="G13" s="2103"/>
      <c r="H13" s="394">
        <f>SUMIF(66:66,G13,67:67)-SUMIF(66:66,C13,67:67)+100</f>
        <v>100</v>
      </c>
      <c r="I13" s="428"/>
      <c r="J13" s="394">
        <f>SUMIF(66:66,I13,67:67)-SUMIF(66:66,C13,67:67)+100</f>
        <v>100</v>
      </c>
      <c r="K13" s="570"/>
      <c r="L13" s="1032"/>
      <c r="M13" s="1023"/>
      <c r="N13" s="1023"/>
      <c r="O13" s="1031"/>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28">
        <v>111</v>
      </c>
      <c r="C14" s="396"/>
      <c r="D14" s="397">
        <v>100</v>
      </c>
      <c r="E14" s="396"/>
      <c r="F14" s="397">
        <f>SUMIF(68:68,E14,69:69)-SUMIF(68:68,C14,69:69)+100</f>
        <v>100</v>
      </c>
      <c r="G14" s="2103"/>
      <c r="H14" s="397">
        <f>SUMIF(68:68,G14,69:69)-SUMIF(68:68,C14,69:69)+100</f>
        <v>100</v>
      </c>
      <c r="I14" s="428"/>
      <c r="J14" s="397">
        <f>SUMIF(68:68,I14,69:69)-SUMIF(68:68,C14,69:69)+100</f>
        <v>100</v>
      </c>
      <c r="K14" s="570"/>
      <c r="L14" s="1032"/>
      <c r="M14" s="1023"/>
      <c r="N14" s="1023"/>
      <c r="O14" s="1031"/>
      <c r="P14" s="3465"/>
      <c r="Q14" s="1475">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65" t="s">
        <v>2283</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482" t="s">
        <v>2140</v>
      </c>
      <c r="Q15" s="1484" t="str">
        <f t="shared" si="6"/>
        <v>产业集聚程度</v>
      </c>
      <c r="R15" s="714" t="s">
        <v>17</v>
      </c>
      <c r="S15" s="715">
        <f t="shared" si="0"/>
        <v>100</v>
      </c>
      <c r="T15" s="714" t="s">
        <v>17</v>
      </c>
      <c r="U15" s="715">
        <f t="shared" si="1"/>
        <v>100</v>
      </c>
      <c r="V15" s="714" t="s">
        <v>17</v>
      </c>
      <c r="W15" s="715">
        <f t="shared" si="2"/>
        <v>100</v>
      </c>
      <c r="X15" s="1487"/>
      <c r="Y15" s="3482"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483"/>
      <c r="Q16" s="1484"/>
      <c r="R16" s="714"/>
      <c r="S16" s="715"/>
      <c r="T16" s="714"/>
      <c r="U16" s="715"/>
      <c r="V16" s="714"/>
      <c r="W16" s="715"/>
      <c r="X16" s="1487"/>
      <c r="Y16" s="3483"/>
      <c r="Z16" s="1488"/>
      <c r="AA16" s="1485">
        <v>1</v>
      </c>
      <c r="AB16" s="1485">
        <v>1</v>
      </c>
      <c r="AC16" s="1485">
        <v>1</v>
      </c>
    </row>
    <row r="17" spans="1:29" ht="85.5">
      <c r="A17" s="387"/>
      <c r="B17" s="410" t="s">
        <v>1704</v>
      </c>
      <c r="C17" s="203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483"/>
      <c r="Q17" s="1484" t="str">
        <f>B17</f>
        <v>交通便捷度</v>
      </c>
      <c r="R17" s="714" t="s">
        <v>17</v>
      </c>
      <c r="S17" s="715">
        <f>F17</f>
        <v>100</v>
      </c>
      <c r="T17" s="714" t="s">
        <v>17</v>
      </c>
      <c r="U17" s="715">
        <f>H17</f>
        <v>100</v>
      </c>
      <c r="V17" s="714" t="s">
        <v>17</v>
      </c>
      <c r="W17" s="715">
        <f>J17</f>
        <v>100</v>
      </c>
      <c r="X17" s="1487"/>
      <c r="Y17" s="3483"/>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1032"/>
      <c r="M18" s="1023"/>
      <c r="N18" s="1023"/>
      <c r="O18" s="1031"/>
      <c r="P18" s="3483"/>
      <c r="Q18" s="1484"/>
      <c r="R18" s="714"/>
      <c r="S18" s="715"/>
      <c r="T18" s="714"/>
      <c r="U18" s="715"/>
      <c r="V18" s="714"/>
      <c r="W18" s="715"/>
      <c r="X18" s="1487"/>
      <c r="Y18" s="3483"/>
      <c r="Z18" s="1488"/>
      <c r="AA18" s="1485">
        <v>1</v>
      </c>
      <c r="AB18" s="1485">
        <v>1</v>
      </c>
      <c r="AC18" s="1485">
        <v>1</v>
      </c>
    </row>
    <row r="19" spans="1:29" ht="42.75">
      <c r="A19" s="387"/>
      <c r="B19" s="410" t="s">
        <v>2268</v>
      </c>
      <c r="C19" s="203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483"/>
      <c r="Q19" s="1484" t="str">
        <f>B19</f>
        <v>公共配套设施</v>
      </c>
      <c r="R19" s="714" t="s">
        <v>17</v>
      </c>
      <c r="S19" s="715">
        <f>F19</f>
        <v>100</v>
      </c>
      <c r="T19" s="714" t="s">
        <v>17</v>
      </c>
      <c r="U19" s="715">
        <f>H19</f>
        <v>100</v>
      </c>
      <c r="V19" s="714" t="s">
        <v>17</v>
      </c>
      <c r="W19" s="715">
        <f>J19</f>
        <v>100</v>
      </c>
      <c r="X19" s="1487"/>
      <c r="Y19" s="3483"/>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1032"/>
      <c r="M20" s="1023"/>
      <c r="N20" s="1023"/>
      <c r="O20" s="1031"/>
      <c r="P20" s="3483"/>
      <c r="Q20" s="1484"/>
      <c r="R20" s="714"/>
      <c r="S20" s="715"/>
      <c r="T20" s="714"/>
      <c r="U20" s="715"/>
      <c r="V20" s="714"/>
      <c r="W20" s="715"/>
      <c r="X20" s="1487"/>
      <c r="Y20" s="3483"/>
      <c r="Z20" s="1488"/>
      <c r="AA20" s="1485">
        <v>1</v>
      </c>
      <c r="AB20" s="1485">
        <v>1</v>
      </c>
      <c r="AC20" s="1485">
        <v>1</v>
      </c>
    </row>
    <row r="21" spans="1:29" ht="28.5">
      <c r="A21" s="387"/>
      <c r="B21" s="1243" t="s">
        <v>2269</v>
      </c>
      <c r="C21" s="203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483"/>
      <c r="Q21" s="1484" t="str">
        <f>B21</f>
        <v>基础设施水平</v>
      </c>
      <c r="R21" s="714" t="s">
        <v>17</v>
      </c>
      <c r="S21" s="715">
        <f>F21</f>
        <v>100</v>
      </c>
      <c r="T21" s="714" t="s">
        <v>17</v>
      </c>
      <c r="U21" s="715">
        <f>H21</f>
        <v>100</v>
      </c>
      <c r="V21" s="714" t="s">
        <v>17</v>
      </c>
      <c r="W21" s="715">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1032"/>
      <c r="M22" s="1023"/>
      <c r="N22" s="1023"/>
      <c r="O22" s="1031"/>
      <c r="P22" s="3483"/>
      <c r="Q22" s="1484"/>
      <c r="R22" s="714"/>
      <c r="S22" s="715"/>
      <c r="T22" s="714"/>
      <c r="U22" s="715"/>
      <c r="V22" s="714"/>
      <c r="W22" s="715"/>
      <c r="X22" s="1487"/>
      <c r="Y22" s="3483"/>
      <c r="Z22" s="1488"/>
      <c r="AA22" s="1485">
        <v>1</v>
      </c>
      <c r="AB22" s="1485">
        <v>1</v>
      </c>
      <c r="AC22" s="1485">
        <v>1</v>
      </c>
    </row>
    <row r="23" spans="1:29" ht="71.25">
      <c r="A23" s="387"/>
      <c r="B23" s="410" t="s">
        <v>2270</v>
      </c>
      <c r="C23" s="203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483"/>
      <c r="Q23" s="1484" t="str">
        <f>B23</f>
        <v>环境质量</v>
      </c>
      <c r="R23" s="714" t="s">
        <v>17</v>
      </c>
      <c r="S23" s="715">
        <f>F23</f>
        <v>100</v>
      </c>
      <c r="T23" s="714" t="s">
        <v>17</v>
      </c>
      <c r="U23" s="715">
        <f>H23</f>
        <v>100</v>
      </c>
      <c r="V23" s="714" t="s">
        <v>17</v>
      </c>
      <c r="W23" s="715">
        <f>J23</f>
        <v>100</v>
      </c>
      <c r="X23" s="1487"/>
      <c r="Y23" s="3483"/>
      <c r="Z23" s="1488" t="str">
        <f>Q23</f>
        <v>环境质量</v>
      </c>
      <c r="AA23" s="1485">
        <f t="shared" si="3"/>
        <v>1</v>
      </c>
      <c r="AB23" s="1485">
        <f t="shared" si="4"/>
        <v>1</v>
      </c>
      <c r="AC23" s="1485">
        <f t="shared" si="5"/>
        <v>1</v>
      </c>
    </row>
    <row r="24" spans="1:29" ht="15">
      <c r="A24" s="387"/>
      <c r="B24" s="1243"/>
      <c r="C24" s="406"/>
      <c r="D24" s="407"/>
      <c r="E24" s="2031"/>
      <c r="F24" s="408"/>
      <c r="G24" s="2030"/>
      <c r="H24" s="407"/>
      <c r="I24" s="2031"/>
      <c r="J24" s="407"/>
      <c r="K24" s="572"/>
      <c r="L24" s="1032"/>
      <c r="M24" s="1023"/>
      <c r="N24" s="1023"/>
      <c r="O24" s="1031"/>
      <c r="P24" s="3483"/>
      <c r="Q24" s="1484"/>
      <c r="R24" s="714"/>
      <c r="S24" s="715"/>
      <c r="T24" s="714"/>
      <c r="U24" s="715"/>
      <c r="V24" s="714"/>
      <c r="W24" s="715"/>
      <c r="X24" s="1487"/>
      <c r="Y24" s="3483"/>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483"/>
      <c r="Q25" s="1484">
        <f>B25</f>
        <v>111</v>
      </c>
      <c r="R25" s="714" t="s">
        <v>17</v>
      </c>
      <c r="S25" s="715">
        <f>F25</f>
        <v>100</v>
      </c>
      <c r="T25" s="714" t="s">
        <v>17</v>
      </c>
      <c r="U25" s="715">
        <f>H25</f>
        <v>100</v>
      </c>
      <c r="V25" s="714" t="s">
        <v>17</v>
      </c>
      <c r="W25" s="715">
        <f>J25</f>
        <v>100</v>
      </c>
      <c r="X25" s="1487"/>
      <c r="Y25" s="3483"/>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483"/>
      <c r="Q26" s="1484">
        <f t="shared" ref="Q26:Q40" si="11">B26</f>
        <v>111</v>
      </c>
      <c r="R26" s="714" t="s">
        <v>17</v>
      </c>
      <c r="S26" s="715">
        <f>F26</f>
        <v>100</v>
      </c>
      <c r="T26" s="714" t="s">
        <v>17</v>
      </c>
      <c r="U26" s="715">
        <f>H26</f>
        <v>100</v>
      </c>
      <c r="V26" s="714" t="s">
        <v>17</v>
      </c>
      <c r="W26" s="715">
        <f>J26</f>
        <v>100</v>
      </c>
      <c r="X26" s="1487"/>
      <c r="Y26" s="3483"/>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483"/>
      <c r="Q27" s="1475">
        <f t="shared" si="11"/>
        <v>111</v>
      </c>
      <c r="R27" s="710" t="s">
        <v>17</v>
      </c>
      <c r="S27" s="711">
        <f>F27</f>
        <v>100</v>
      </c>
      <c r="T27" s="710" t="s">
        <v>17</v>
      </c>
      <c r="U27" s="711">
        <f>H27</f>
        <v>100</v>
      </c>
      <c r="V27" s="710" t="s">
        <v>17</v>
      </c>
      <c r="W27" s="711">
        <f>J27</f>
        <v>100</v>
      </c>
      <c r="X27" s="712"/>
      <c r="Y27" s="3483"/>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483"/>
      <c r="Q28" s="1484">
        <f t="shared" si="11"/>
        <v>111</v>
      </c>
      <c r="R28" s="714" t="s">
        <v>17</v>
      </c>
      <c r="S28" s="715">
        <f t="shared" ref="S28:S40" si="12">F28</f>
        <v>100</v>
      </c>
      <c r="T28" s="714" t="s">
        <v>17</v>
      </c>
      <c r="U28" s="715">
        <f t="shared" ref="U28:U40" si="13">H28</f>
        <v>100</v>
      </c>
      <c r="V28" s="714" t="s">
        <v>17</v>
      </c>
      <c r="W28" s="715">
        <f t="shared" ref="W28:W40" si="14">J28</f>
        <v>100</v>
      </c>
      <c r="X28" s="1487"/>
      <c r="Y28" s="3483"/>
      <c r="Z28" s="1488">
        <f t="shared" ref="Z28:Z40" si="15">Q28</f>
        <v>111</v>
      </c>
      <c r="AA28" s="1485">
        <f t="shared" si="3"/>
        <v>1</v>
      </c>
      <c r="AB28" s="1485">
        <f t="shared" si="4"/>
        <v>1</v>
      </c>
      <c r="AC28" s="1485">
        <f t="shared" si="5"/>
        <v>1</v>
      </c>
    </row>
    <row r="29" spans="1:29" ht="28.5">
      <c r="A29" s="425" t="s">
        <v>2143</v>
      </c>
      <c r="B29" s="67" t="s">
        <v>2273</v>
      </c>
      <c r="C29" s="2100"/>
      <c r="D29" s="426">
        <v>100</v>
      </c>
      <c r="E29" s="2100"/>
      <c r="F29" s="420">
        <f>SUMIF(88:88,E29,89:89)-SUMIF(88:88,C29,89:89)+100</f>
        <v>100</v>
      </c>
      <c r="G29" s="2100"/>
      <c r="H29" s="394">
        <f>SUMIF(88:88,G29,89:89)-SUMIF(88:88,C29,89:89)+100</f>
        <v>100</v>
      </c>
      <c r="I29" s="2100"/>
      <c r="J29" s="426">
        <f>SUMIF(88:88,I29,89:89)-SUMIF(88:88,C29,89:89)+100</f>
        <v>100</v>
      </c>
      <c r="K29" s="569"/>
      <c r="L29" s="1032"/>
      <c r="M29" s="1023"/>
      <c r="N29" s="1023"/>
      <c r="O29" s="1031"/>
      <c r="P29" s="3499" t="s">
        <v>2145</v>
      </c>
      <c r="Q29" s="1484" t="str">
        <f t="shared" si="11"/>
        <v>建筑类型</v>
      </c>
      <c r="R29" s="714" t="s">
        <v>17</v>
      </c>
      <c r="S29" s="715">
        <f t="shared" si="12"/>
        <v>100</v>
      </c>
      <c r="T29" s="714" t="s">
        <v>17</v>
      </c>
      <c r="U29" s="715">
        <f t="shared" si="13"/>
        <v>100</v>
      </c>
      <c r="V29" s="714" t="s">
        <v>17</v>
      </c>
      <c r="W29" s="715">
        <f t="shared" si="14"/>
        <v>100</v>
      </c>
      <c r="X29" s="1487"/>
      <c r="Y29" s="3484"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f>LOOKUP(E30,91:91,92:92)-LOOKUP(C30,91:91,92:92)+100</f>
        <v>100</v>
      </c>
      <c r="G30" s="388"/>
      <c r="H30" s="132">
        <f>LOOKUP(G30,91:91,92:92)-LOOKUP(C30,91:91,92:92)+100</f>
        <v>100</v>
      </c>
      <c r="I30" s="388"/>
      <c r="J30" s="132">
        <f>LOOKUP(I30,91:91,92:92)-LOOKUP(C30,91:91,92:92)+100</f>
        <v>100</v>
      </c>
      <c r="K30" s="570"/>
      <c r="L30" s="1030"/>
      <c r="M30" s="1033"/>
      <c r="N30" s="1033"/>
      <c r="O30" s="1034"/>
      <c r="P30" s="3484"/>
      <c r="Q30" s="716" t="str">
        <f t="shared" si="11"/>
        <v>项目建筑规模</v>
      </c>
      <c r="R30" s="717" t="s">
        <v>17</v>
      </c>
      <c r="S30" s="718">
        <f t="shared" si="12"/>
        <v>100</v>
      </c>
      <c r="T30" s="717" t="s">
        <v>17</v>
      </c>
      <c r="U30" s="718">
        <f t="shared" si="13"/>
        <v>100</v>
      </c>
      <c r="V30" s="717" t="s">
        <v>17</v>
      </c>
      <c r="W30" s="718">
        <f t="shared" si="14"/>
        <v>100</v>
      </c>
      <c r="X30" s="719"/>
      <c r="Y30" s="3484"/>
      <c r="Z30" s="720" t="str">
        <f t="shared" si="15"/>
        <v>项目建筑规模</v>
      </c>
      <c r="AA30" s="1485">
        <f t="shared" si="3"/>
        <v>1</v>
      </c>
      <c r="AB30" s="1485">
        <f t="shared" si="4"/>
        <v>1</v>
      </c>
      <c r="AC30" s="1485">
        <f t="shared" si="5"/>
        <v>1</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484"/>
      <c r="Q31" s="1484" t="str">
        <f t="shared" si="11"/>
        <v>建筑结构</v>
      </c>
      <c r="R31" s="714" t="s">
        <v>17</v>
      </c>
      <c r="S31" s="715">
        <f t="shared" si="12"/>
        <v>100</v>
      </c>
      <c r="T31" s="714" t="s">
        <v>17</v>
      </c>
      <c r="U31" s="715">
        <f t="shared" si="13"/>
        <v>100</v>
      </c>
      <c r="V31" s="714" t="s">
        <v>17</v>
      </c>
      <c r="W31" s="715">
        <f t="shared" si="14"/>
        <v>100</v>
      </c>
      <c r="X31" s="1487"/>
      <c r="Y31" s="3484"/>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484"/>
      <c r="Q32" s="1484" t="str">
        <f t="shared" si="11"/>
        <v>公共部分装修</v>
      </c>
      <c r="R32" s="714" t="s">
        <v>17</v>
      </c>
      <c r="S32" s="715">
        <f t="shared" si="12"/>
        <v>100</v>
      </c>
      <c r="T32" s="714" t="s">
        <v>17</v>
      </c>
      <c r="U32" s="715">
        <f t="shared" si="13"/>
        <v>100</v>
      </c>
      <c r="V32" s="714" t="s">
        <v>17</v>
      </c>
      <c r="W32" s="715">
        <f t="shared" si="14"/>
        <v>100</v>
      </c>
      <c r="X32" s="1487"/>
      <c r="Y32" s="3484"/>
      <c r="Z32" s="1488" t="str">
        <f t="shared" si="15"/>
        <v>公共部分装修</v>
      </c>
      <c r="AA32" s="1485">
        <f t="shared" si="3"/>
        <v>1</v>
      </c>
      <c r="AB32" s="1485">
        <f t="shared" si="4"/>
        <v>1</v>
      </c>
      <c r="AC32" s="1485">
        <f t="shared" si="5"/>
        <v>1</v>
      </c>
    </row>
    <row r="33" spans="1:29" ht="15">
      <c r="A33" s="431"/>
      <c r="B33" s="381" t="s">
        <v>2242</v>
      </c>
      <c r="C33" s="433">
        <v>0.96</v>
      </c>
      <c r="D33" s="394">
        <v>100</v>
      </c>
      <c r="E33" s="433">
        <v>0.85</v>
      </c>
      <c r="F33" s="420">
        <f>LOOKUP(E33,98:98,99:99)-LOOKUP(C33,98:98,99:99)+100</f>
        <v>100</v>
      </c>
      <c r="G33" s="433">
        <v>0.85</v>
      </c>
      <c r="H33" s="420">
        <f>LOOKUP(G33,98:98,99:99)-LOOKUP(C33,98:98,99:99)+100</f>
        <v>100</v>
      </c>
      <c r="I33" s="433">
        <v>0.85</v>
      </c>
      <c r="J33" s="394">
        <f>LOOKUP(I33,98:98,99:99)-LOOKUP(C33,98:98,99:99)+100</f>
        <v>100</v>
      </c>
      <c r="K33" s="569"/>
      <c r="L33" s="1032"/>
      <c r="M33" s="1023"/>
      <c r="N33" s="1023"/>
      <c r="O33" s="1031"/>
      <c r="P33" s="3484"/>
      <c r="Q33" s="1484" t="str">
        <f t="shared" si="11"/>
        <v>成新度</v>
      </c>
      <c r="R33" s="714" t="s">
        <v>17</v>
      </c>
      <c r="S33" s="715">
        <f t="shared" si="12"/>
        <v>100</v>
      </c>
      <c r="T33" s="714" t="s">
        <v>17</v>
      </c>
      <c r="U33" s="715">
        <f t="shared" si="13"/>
        <v>100</v>
      </c>
      <c r="V33" s="714" t="s">
        <v>17</v>
      </c>
      <c r="W33" s="715">
        <f t="shared" si="14"/>
        <v>100</v>
      </c>
      <c r="X33" s="1487"/>
      <c r="Y33" s="3484"/>
      <c r="Z33" s="1488" t="str">
        <f t="shared" si="15"/>
        <v>成新度</v>
      </c>
      <c r="AA33" s="1485">
        <f t="shared" si="3"/>
        <v>1</v>
      </c>
      <c r="AB33" s="1485">
        <f t="shared" si="4"/>
        <v>1</v>
      </c>
      <c r="AC33" s="1485">
        <f t="shared" si="5"/>
        <v>1</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484"/>
      <c r="Q34" s="1475" t="str">
        <f t="shared" si="11"/>
        <v>物业管理</v>
      </c>
      <c r="R34" s="710" t="s">
        <v>17</v>
      </c>
      <c r="S34" s="711">
        <f t="shared" si="12"/>
        <v>100</v>
      </c>
      <c r="T34" s="710" t="s">
        <v>17</v>
      </c>
      <c r="U34" s="711">
        <f t="shared" si="13"/>
        <v>100</v>
      </c>
      <c r="V34" s="710" t="s">
        <v>17</v>
      </c>
      <c r="W34" s="711">
        <f t="shared" si="14"/>
        <v>100</v>
      </c>
      <c r="X34" s="712"/>
      <c r="Y34" s="348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484" t="s">
        <v>2145</v>
      </c>
      <c r="Q35" s="1484" t="str">
        <f t="shared" si="11"/>
        <v>市政基础设施</v>
      </c>
      <c r="R35" s="714" t="s">
        <v>17</v>
      </c>
      <c r="S35" s="715">
        <f t="shared" si="12"/>
        <v>100</v>
      </c>
      <c r="T35" s="714" t="s">
        <v>17</v>
      </c>
      <c r="U35" s="715">
        <f t="shared" si="13"/>
        <v>100</v>
      </c>
      <c r="V35" s="714" t="s">
        <v>17</v>
      </c>
      <c r="W35" s="715">
        <f t="shared" si="14"/>
        <v>100</v>
      </c>
      <c r="X35" s="1487"/>
      <c r="Y35" s="3484"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484"/>
      <c r="Q36" s="1484" t="str">
        <f t="shared" si="11"/>
        <v>内部装修</v>
      </c>
      <c r="R36" s="714" t="s">
        <v>17</v>
      </c>
      <c r="S36" s="715">
        <f t="shared" si="12"/>
        <v>100</v>
      </c>
      <c r="T36" s="714" t="s">
        <v>17</v>
      </c>
      <c r="U36" s="715">
        <f t="shared" si="13"/>
        <v>100</v>
      </c>
      <c r="V36" s="714" t="s">
        <v>17</v>
      </c>
      <c r="W36" s="715">
        <f t="shared" si="14"/>
        <v>100</v>
      </c>
      <c r="X36" s="1487"/>
      <c r="Y36" s="3484"/>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484"/>
      <c r="Q37" s="1484" t="str">
        <f t="shared" si="11"/>
        <v>内部装修状况</v>
      </c>
      <c r="R37" s="714" t="s">
        <v>17</v>
      </c>
      <c r="S37" s="715">
        <f t="shared" si="12"/>
        <v>100</v>
      </c>
      <c r="T37" s="714" t="s">
        <v>17</v>
      </c>
      <c r="U37" s="715">
        <f t="shared" si="13"/>
        <v>100</v>
      </c>
      <c r="V37" s="714" t="s">
        <v>17</v>
      </c>
      <c r="W37" s="715">
        <f t="shared" si="14"/>
        <v>100</v>
      </c>
      <c r="X37" s="1487"/>
      <c r="Y37" s="3484"/>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484"/>
      <c r="Q38" s="716">
        <f t="shared" si="11"/>
        <v>111</v>
      </c>
      <c r="R38" s="717" t="s">
        <v>17</v>
      </c>
      <c r="S38" s="718">
        <f t="shared" si="12"/>
        <v>100</v>
      </c>
      <c r="T38" s="717" t="s">
        <v>17</v>
      </c>
      <c r="U38" s="718">
        <f t="shared" si="13"/>
        <v>100</v>
      </c>
      <c r="V38" s="717" t="s">
        <v>17</v>
      </c>
      <c r="W38" s="718">
        <f t="shared" si="14"/>
        <v>100</v>
      </c>
      <c r="X38" s="719"/>
      <c r="Y38" s="3484"/>
      <c r="Z38" s="720">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484"/>
      <c r="Q39" s="1484">
        <f t="shared" si="11"/>
        <v>111</v>
      </c>
      <c r="R39" s="714" t="s">
        <v>17</v>
      </c>
      <c r="S39" s="715">
        <f t="shared" si="12"/>
        <v>100</v>
      </c>
      <c r="T39" s="714" t="s">
        <v>17</v>
      </c>
      <c r="U39" s="715">
        <f t="shared" si="13"/>
        <v>100</v>
      </c>
      <c r="V39" s="714" t="s">
        <v>17</v>
      </c>
      <c r="W39" s="715">
        <f t="shared" si="14"/>
        <v>100</v>
      </c>
      <c r="X39" s="1487"/>
      <c r="Y39" s="3484"/>
      <c r="Z39" s="1488">
        <f t="shared" si="15"/>
        <v>111</v>
      </c>
      <c r="AA39" s="1485">
        <f t="shared" si="3"/>
        <v>1</v>
      </c>
      <c r="AB39" s="1485">
        <f t="shared" si="4"/>
        <v>1</v>
      </c>
      <c r="AC39" s="1485">
        <f t="shared" si="5"/>
        <v>1</v>
      </c>
    </row>
    <row r="40" spans="1:29" ht="15.75" thickBot="1">
      <c r="A40" s="437"/>
      <c r="B40" s="202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35"/>
      <c r="Q40" s="1484">
        <f t="shared" si="11"/>
        <v>111</v>
      </c>
      <c r="R40" s="714" t="s">
        <v>17</v>
      </c>
      <c r="S40" s="715">
        <f t="shared" si="12"/>
        <v>100</v>
      </c>
      <c r="T40" s="714" t="s">
        <v>17</v>
      </c>
      <c r="U40" s="715">
        <f t="shared" si="13"/>
        <v>100</v>
      </c>
      <c r="V40" s="714" t="s">
        <v>17</v>
      </c>
      <c r="W40" s="715">
        <f t="shared" si="14"/>
        <v>100</v>
      </c>
      <c r="X40" s="1487"/>
      <c r="Y40" s="3535"/>
      <c r="Z40" s="1488">
        <f t="shared" si="15"/>
        <v>111</v>
      </c>
      <c r="AA40" s="1485">
        <f t="shared" si="3"/>
        <v>1</v>
      </c>
      <c r="AB40" s="1485">
        <f t="shared" si="4"/>
        <v>1</v>
      </c>
      <c r="AC40" s="1485">
        <f t="shared" si="5"/>
        <v>1</v>
      </c>
    </row>
    <row r="41" spans="1:29" ht="15">
      <c r="A41" s="438" t="s">
        <v>2157</v>
      </c>
      <c r="B41" s="439"/>
      <c r="C41" s="1266" t="s">
        <v>1</v>
      </c>
      <c r="D41" s="1267"/>
      <c r="E41" s="1268">
        <v>21000</v>
      </c>
      <c r="F41" s="1269"/>
      <c r="G41" s="1270">
        <v>20000</v>
      </c>
      <c r="H41" s="1271"/>
      <c r="I41" s="1268">
        <v>20000</v>
      </c>
      <c r="J41" s="1271"/>
      <c r="K41" s="723"/>
      <c r="L41" s="1035"/>
      <c r="M41" s="1036"/>
      <c r="N41" s="1023"/>
      <c r="O41" s="1036"/>
      <c r="P41" s="3465" t="str">
        <f>A41</f>
        <v>成交单价（元/平方米）</v>
      </c>
      <c r="Q41" s="3465"/>
      <c r="R41" s="3531">
        <f>E41</f>
        <v>21000</v>
      </c>
      <c r="S41" s="3531"/>
      <c r="T41" s="3531">
        <f>G41</f>
        <v>20000</v>
      </c>
      <c r="U41" s="3531"/>
      <c r="V41" s="3531">
        <f>I41</f>
        <v>20000</v>
      </c>
      <c r="W41" s="3531"/>
      <c r="X41" s="699"/>
      <c r="Y41" s="721"/>
      <c r="Z41" s="699"/>
      <c r="AA41" s="699"/>
      <c r="AB41" s="699"/>
      <c r="AC41" s="699"/>
    </row>
    <row r="42" spans="1:29" ht="15.75" thickBot="1">
      <c r="A42" s="445" t="s">
        <v>2249</v>
      </c>
      <c r="B42" s="446"/>
      <c r="C42" s="1272" t="e">
        <f>R43</f>
        <v>#DIV/0!</v>
      </c>
      <c r="D42" s="2485" t="s">
        <v>2638</v>
      </c>
      <c r="E42" s="1273" t="e">
        <f>R42</f>
        <v>#DIV/0!</v>
      </c>
      <c r="F42" s="2486"/>
      <c r="G42" s="1272" t="e">
        <f>T42</f>
        <v>#DIV/0!</v>
      </c>
      <c r="H42" s="2486"/>
      <c r="I42" s="1273" t="e">
        <f>V42</f>
        <v>#DIV/0!</v>
      </c>
      <c r="J42" s="2486"/>
      <c r="K42" s="2488">
        <f>F42+H42+J42</f>
        <v>0</v>
      </c>
      <c r="L42" s="1035"/>
      <c r="M42" s="1036"/>
      <c r="N42" s="1023"/>
      <c r="O42" s="1036"/>
      <c r="P42" s="3465" t="str">
        <f>A42</f>
        <v>比较价值（元/平方米）</v>
      </c>
      <c r="Q42" s="3465"/>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699"/>
      <c r="Y42" s="699"/>
      <c r="Z42" s="699"/>
      <c r="AA42" s="699"/>
      <c r="AB42" s="699"/>
      <c r="AC42" s="699"/>
    </row>
    <row r="43" spans="1:29" ht="15.75" thickBot="1">
      <c r="A43" s="449" t="s">
        <v>2250</v>
      </c>
      <c r="B43" s="450"/>
      <c r="C43" s="1275" t="e">
        <f>R43</f>
        <v>#DIV/0!</v>
      </c>
      <c r="D43" s="1275"/>
      <c r="E43" s="1275"/>
      <c r="F43" s="1275"/>
      <c r="G43" s="1275"/>
      <c r="H43" s="1275"/>
      <c r="I43" s="1275"/>
      <c r="J43" s="1275"/>
      <c r="K43" s="724"/>
      <c r="L43" s="1035"/>
      <c r="M43" s="1036"/>
      <c r="N43" s="1036"/>
      <c r="O43" s="1036"/>
      <c r="P43" s="3500" t="str">
        <f>A43</f>
        <v>估价对象XX用房的比较价值（楼面单价，元/平方米）</v>
      </c>
      <c r="Q43" s="3501"/>
      <c r="R43" s="3530" t="e">
        <f>IF(F1="售价",ROUND(IF(D42="简单平均",AVERAGE(R42:V42),R42*F42+T42*H42+V42*J42),0),ROUND(IF(D42="简单平均",AVERAGE(R42:V42),R42*F42+T42*H42+V42*J42),1))</f>
        <v>#DIV/0!</v>
      </c>
      <c r="S43" s="3530"/>
      <c r="T43" s="3530"/>
      <c r="U43" s="3530"/>
      <c r="V43" s="3530"/>
      <c r="W43" s="3530"/>
      <c r="X43" s="699"/>
      <c r="Y43" s="699"/>
      <c r="Z43" s="699"/>
      <c r="AA43" s="699"/>
      <c r="AB43" s="699"/>
      <c r="AC43" s="699"/>
    </row>
    <row r="44" spans="1:29">
      <c r="A44" s="2900"/>
      <c r="B44" s="2900"/>
      <c r="C44" s="2900"/>
      <c r="D44" s="2900"/>
      <c r="E44" s="2900"/>
      <c r="F44" s="2900"/>
      <c r="G44" s="2904"/>
      <c r="H44" s="2900"/>
      <c r="I44" s="2900"/>
      <c r="J44" s="2900"/>
      <c r="K44" s="2905"/>
      <c r="L44" s="998"/>
      <c r="M44" s="1036"/>
      <c r="N44" s="1036"/>
      <c r="O44" s="1036"/>
    </row>
    <row r="45" spans="1:29">
      <c r="A45" s="2900"/>
      <c r="B45" s="2900"/>
      <c r="C45" s="2900"/>
      <c r="D45" s="2900"/>
      <c r="E45" s="2900"/>
      <c r="F45" s="2900"/>
      <c r="G45" s="2900"/>
      <c r="H45" s="2900"/>
      <c r="I45" s="2900"/>
      <c r="J45" s="2900"/>
      <c r="K45" s="2905"/>
      <c r="L45" s="998"/>
      <c r="M45" s="1036"/>
      <c r="N45" s="1036"/>
      <c r="O45" s="1036"/>
    </row>
    <row r="46" spans="1:29"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998"/>
      <c r="M46" s="1036"/>
      <c r="N46" s="1036"/>
      <c r="O46" s="1036"/>
    </row>
    <row r="47" spans="1:29"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998"/>
      <c r="M47" s="1036"/>
      <c r="N47" s="1036"/>
      <c r="O47" s="1036"/>
    </row>
    <row r="48" spans="1:29" s="459" customFormat="1" ht="13.5" customHeight="1">
      <c r="A48" s="2903"/>
      <c r="B48" s="2903"/>
      <c r="C48" s="454" t="s">
        <v>2253</v>
      </c>
      <c r="D48" s="458"/>
      <c r="E48" s="456">
        <f>IF(E41&lt;G41,G41/E41-1,E41/G41-1)</f>
        <v>5.0000000000000044E-2</v>
      </c>
      <c r="F48" s="457" t="str">
        <f>IF(OR(E48&gt;=0.3,E48&lt;=-0.3),"超过30%","")</f>
        <v/>
      </c>
      <c r="G48" s="456">
        <f>IF(G41&lt;I41,I41/G41-1,G41/I41-1)</f>
        <v>0</v>
      </c>
      <c r="H48" s="457" t="str">
        <f>IF(OR(G48&gt;=0.3,G48&lt;=-0.3),"超过30%","")</f>
        <v/>
      </c>
      <c r="I48" s="456">
        <f>IF(I41&lt;E41,E41/I41-1,I41/E41-1)</f>
        <v>5.0000000000000044E-2</v>
      </c>
      <c r="J48" s="457" t="str">
        <f>IF(OR(I48&gt;=0.3,I48&lt;=-0.3),"超过30%","")</f>
        <v/>
      </c>
      <c r="K48" s="2908"/>
      <c r="L48" s="1039"/>
      <c r="M48" s="1037"/>
      <c r="N48" s="1037"/>
      <c r="O48" s="1037"/>
    </row>
    <row r="49" spans="1:17" s="459" customFormat="1">
      <c r="A49" s="2903"/>
      <c r="B49" s="2906"/>
      <c r="C49" s="2907"/>
      <c r="D49" s="2903"/>
      <c r="E49" s="2903"/>
      <c r="F49" s="2903"/>
      <c r="G49" s="2903"/>
      <c r="H49" s="2903"/>
      <c r="I49" s="2903"/>
      <c r="J49" s="2903"/>
      <c r="K49" s="2908"/>
      <c r="L49" s="1039"/>
      <c r="M49" s="1037"/>
      <c r="N49" s="1037"/>
      <c r="O49" s="1037"/>
    </row>
    <row r="50" spans="1:17">
      <c r="A50" s="2900"/>
      <c r="B50" s="2906"/>
      <c r="C50" s="2907"/>
      <c r="D50" s="2900"/>
      <c r="E50" s="2900"/>
      <c r="F50" s="2900"/>
      <c r="G50" s="2900"/>
      <c r="H50" s="2900"/>
      <c r="I50" s="2900"/>
      <c r="J50" s="2900"/>
      <c r="K50" s="2905"/>
      <c r="L50" s="998"/>
      <c r="M50" s="1036"/>
      <c r="N50" s="1036"/>
      <c r="O50" s="1036"/>
    </row>
    <row r="51" spans="1:17" ht="21.75" thickBot="1">
      <c r="A51" s="703" t="s">
        <v>2254</v>
      </c>
      <c r="B51" s="699"/>
      <c r="C51" s="704"/>
      <c r="D51" s="704"/>
      <c r="E51" s="704"/>
      <c r="F51" s="705"/>
      <c r="G51" s="705"/>
      <c r="H51" s="704"/>
      <c r="I51" s="704"/>
      <c r="J51" s="704"/>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5"/>
      <c r="O54" s="2946"/>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1（含）-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v>1</v>
      </c>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1"/>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29.25" thickTop="1">
      <c r="A90" s="491"/>
      <c r="B90" s="495" t="s">
        <v>2193</v>
      </c>
      <c r="C90" s="535" t="str">
        <f>C91&amp;"(含)"&amp;"-"&amp;D91</f>
        <v>0(含)-1000</v>
      </c>
      <c r="D90" s="535" t="str">
        <f t="shared" ref="D90:L90" si="20">D91&amp;"(含)"&amp;"-"&amp;E91</f>
        <v>1000(含)-3000</v>
      </c>
      <c r="E90" s="535" t="str">
        <f t="shared" si="20"/>
        <v>3000(含)-5000</v>
      </c>
      <c r="F90" s="535" t="str">
        <f t="shared" si="20"/>
        <v>5000(含)-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v>0</v>
      </c>
      <c r="D91" s="552">
        <v>1000</v>
      </c>
      <c r="E91" s="552">
        <v>3000</v>
      </c>
      <c r="F91" s="552">
        <v>5000</v>
      </c>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1"/>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2"/>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4"/>
      <c r="D2" s="1016" t="e">
        <f ca="1">SUMIF(INDIRECT("'"&amp;F2&amp;"'"&amp;"!A:A"),"承租人权益价值",INDIRECT("'"&amp;F2&amp;"'"&amp;"!c:c"))</f>
        <v>#REF!</v>
      </c>
      <c r="E2" s="2015" t="s">
        <v>1908</v>
      </c>
      <c r="F2" s="2016"/>
      <c r="G2" s="1017"/>
      <c r="H2" s="1017"/>
      <c r="I2" s="1017"/>
      <c r="J2" s="1017"/>
      <c r="K2" s="1019"/>
      <c r="L2" s="2909"/>
      <c r="M2" s="2910"/>
      <c r="N2" s="2910"/>
      <c r="O2" s="2910"/>
      <c r="P2" s="1277"/>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9"/>
      <c r="M3" s="2910"/>
      <c r="N3" s="2910"/>
      <c r="O3" s="2910"/>
      <c r="P3" s="1277"/>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44788</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66" t="s">
        <v>2129</v>
      </c>
      <c r="Q7" s="3476"/>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65" t="s">
        <v>2135</v>
      </c>
      <c r="Q9" s="1475"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65"/>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65"/>
      <c r="Q11" s="1475">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61" t="s">
        <v>2139</v>
      </c>
      <c r="B14" s="585" t="s">
        <v>2289</v>
      </c>
      <c r="C14" s="210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82" t="s">
        <v>2140</v>
      </c>
      <c r="Q14" s="1484" t="str">
        <f t="shared" si="6"/>
        <v>交通便捷度</v>
      </c>
      <c r="R14" s="714" t="s">
        <v>17</v>
      </c>
      <c r="S14" s="715">
        <f t="shared" si="0"/>
        <v>100</v>
      </c>
      <c r="T14" s="714" t="s">
        <v>17</v>
      </c>
      <c r="U14" s="715">
        <f t="shared" si="1"/>
        <v>100</v>
      </c>
      <c r="V14" s="714" t="s">
        <v>17</v>
      </c>
      <c r="W14" s="715">
        <f t="shared" si="2"/>
        <v>100</v>
      </c>
      <c r="X14" s="1487"/>
      <c r="Y14" s="3482" t="s">
        <v>2140</v>
      </c>
      <c r="Z14" s="1488" t="str">
        <f t="shared" si="7"/>
        <v>交通便捷度</v>
      </c>
      <c r="AA14" s="1485">
        <f t="shared" si="3"/>
        <v>1</v>
      </c>
      <c r="AB14" s="1485">
        <f t="shared" si="4"/>
        <v>1</v>
      </c>
      <c r="AC14" s="1485">
        <f t="shared" si="5"/>
        <v>1</v>
      </c>
    </row>
    <row r="15" spans="1:29" ht="15">
      <c r="A15" s="364"/>
      <c r="B15" s="603"/>
      <c r="C15" s="406"/>
      <c r="D15" s="407"/>
      <c r="E15" s="406"/>
      <c r="F15" s="408"/>
      <c r="G15" s="406"/>
      <c r="H15" s="409"/>
      <c r="I15" s="406"/>
      <c r="J15" s="407"/>
      <c r="K15" s="572"/>
      <c r="L15" s="2897"/>
      <c r="M15" s="2891"/>
      <c r="N15" s="2891"/>
      <c r="O15" s="2891"/>
      <c r="P15" s="3483"/>
      <c r="Q15" s="1484"/>
      <c r="R15" s="714"/>
      <c r="S15" s="715"/>
      <c r="T15" s="714"/>
      <c r="U15" s="715"/>
      <c r="V15" s="714"/>
      <c r="W15" s="715"/>
      <c r="X15" s="1487"/>
      <c r="Y15" s="3483"/>
      <c r="Z15" s="1488"/>
      <c r="AA15" s="1485">
        <v>1</v>
      </c>
      <c r="AB15" s="1485">
        <v>1</v>
      </c>
      <c r="AC15" s="1485">
        <v>1</v>
      </c>
    </row>
    <row r="16" spans="1:29" ht="42.75">
      <c r="A16" s="364"/>
      <c r="B16" s="587" t="s">
        <v>2268</v>
      </c>
      <c r="C16" s="203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83"/>
      <c r="Q16" s="1484" t="str">
        <f>B16</f>
        <v>公共配套设施</v>
      </c>
      <c r="R16" s="714" t="s">
        <v>17</v>
      </c>
      <c r="S16" s="715">
        <f>F16</f>
        <v>100</v>
      </c>
      <c r="T16" s="714" t="s">
        <v>17</v>
      </c>
      <c r="U16" s="715">
        <f>H16</f>
        <v>100</v>
      </c>
      <c r="V16" s="714" t="s">
        <v>17</v>
      </c>
      <c r="W16" s="715">
        <f>J16</f>
        <v>100</v>
      </c>
      <c r="X16" s="1487"/>
      <c r="Y16" s="3483"/>
      <c r="Z16" s="1488" t="str">
        <f>Q16</f>
        <v>公共配套设施</v>
      </c>
      <c r="AA16" s="1485">
        <f t="shared" si="3"/>
        <v>1</v>
      </c>
      <c r="AB16" s="1485">
        <f t="shared" si="4"/>
        <v>1</v>
      </c>
      <c r="AC16" s="1485">
        <f t="shared" si="5"/>
        <v>1</v>
      </c>
    </row>
    <row r="17" spans="1:29" ht="15">
      <c r="A17" s="364"/>
      <c r="B17" s="588"/>
      <c r="C17" s="2034"/>
      <c r="D17" s="407"/>
      <c r="E17" s="406"/>
      <c r="F17" s="408"/>
      <c r="G17" s="406"/>
      <c r="H17" s="407"/>
      <c r="I17" s="406"/>
      <c r="J17" s="407"/>
      <c r="K17" s="572"/>
      <c r="L17" s="2897"/>
      <c r="M17" s="2891"/>
      <c r="N17" s="2891"/>
      <c r="O17" s="2891"/>
      <c r="P17" s="3483"/>
      <c r="Q17" s="1484"/>
      <c r="R17" s="714"/>
      <c r="S17" s="715"/>
      <c r="T17" s="714"/>
      <c r="U17" s="715"/>
      <c r="V17" s="714"/>
      <c r="W17" s="715"/>
      <c r="X17" s="1487"/>
      <c r="Y17" s="3483"/>
      <c r="Z17" s="1488"/>
      <c r="AA17" s="1485">
        <v>1</v>
      </c>
      <c r="AB17" s="1485">
        <v>1</v>
      </c>
      <c r="AC17" s="1485">
        <v>1</v>
      </c>
    </row>
    <row r="18" spans="1:29" ht="28.5">
      <c r="A18" s="364"/>
      <c r="B18" s="589" t="s">
        <v>2269</v>
      </c>
      <c r="C18" s="203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83"/>
      <c r="Q18" s="1484" t="str">
        <f>B18</f>
        <v>基础设施水平</v>
      </c>
      <c r="R18" s="714" t="s">
        <v>17</v>
      </c>
      <c r="S18" s="715">
        <f>F18</f>
        <v>100</v>
      </c>
      <c r="T18" s="714" t="s">
        <v>17</v>
      </c>
      <c r="U18" s="715">
        <f>H18</f>
        <v>100</v>
      </c>
      <c r="V18" s="714" t="s">
        <v>17</v>
      </c>
      <c r="W18" s="715">
        <f>J18</f>
        <v>100</v>
      </c>
      <c r="X18" s="1487"/>
      <c r="Y18" s="3483"/>
      <c r="Z18" s="1488" t="str">
        <f>Q18</f>
        <v>基础设施水平</v>
      </c>
      <c r="AA18" s="1485">
        <f t="shared" ref="AA18" si="8">D18/F18</f>
        <v>1</v>
      </c>
      <c r="AB18" s="1485">
        <f t="shared" ref="AB18" si="9">D18/H18</f>
        <v>1</v>
      </c>
      <c r="AC18" s="1485">
        <f t="shared" ref="AC18" si="10">D18/J18</f>
        <v>1</v>
      </c>
    </row>
    <row r="19" spans="1:29" ht="15">
      <c r="A19" s="364"/>
      <c r="B19" s="589"/>
      <c r="C19" s="2034"/>
      <c r="D19" s="409"/>
      <c r="E19" s="2034"/>
      <c r="F19" s="412"/>
      <c r="G19" s="2034"/>
      <c r="H19" s="407"/>
      <c r="I19" s="406"/>
      <c r="J19" s="407"/>
      <c r="K19" s="1242"/>
      <c r="L19" s="2897"/>
      <c r="M19" s="2891"/>
      <c r="N19" s="2891"/>
      <c r="O19" s="2891"/>
      <c r="P19" s="3483"/>
      <c r="Q19" s="1484"/>
      <c r="R19" s="714"/>
      <c r="S19" s="715"/>
      <c r="T19" s="714"/>
      <c r="U19" s="715"/>
      <c r="V19" s="714"/>
      <c r="W19" s="715"/>
      <c r="X19" s="1487"/>
      <c r="Y19" s="3483"/>
      <c r="Z19" s="1488"/>
      <c r="AA19" s="1485">
        <v>1</v>
      </c>
      <c r="AB19" s="1485">
        <v>1</v>
      </c>
      <c r="AC19" s="1485">
        <v>1</v>
      </c>
    </row>
    <row r="20" spans="1:29" ht="57">
      <c r="A20" s="364"/>
      <c r="B20" s="587" t="s">
        <v>2290</v>
      </c>
      <c r="C20" s="203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83"/>
      <c r="Q20" s="1484" t="str">
        <f>B20</f>
        <v>自然及人文环境</v>
      </c>
      <c r="R20" s="714" t="s">
        <v>17</v>
      </c>
      <c r="S20" s="715">
        <f>F20</f>
        <v>100</v>
      </c>
      <c r="T20" s="714" t="s">
        <v>17</v>
      </c>
      <c r="U20" s="715">
        <f>H20</f>
        <v>100</v>
      </c>
      <c r="V20" s="714" t="s">
        <v>17</v>
      </c>
      <c r="W20" s="715">
        <f>J20</f>
        <v>100</v>
      </c>
      <c r="X20" s="1487"/>
      <c r="Y20" s="3483"/>
      <c r="Z20" s="1488" t="str">
        <f>Q20</f>
        <v>自然及人文环境</v>
      </c>
      <c r="AA20" s="1485">
        <f t="shared" si="3"/>
        <v>1</v>
      </c>
      <c r="AB20" s="1485">
        <f t="shared" si="4"/>
        <v>1</v>
      </c>
      <c r="AC20" s="1485">
        <f t="shared" si="5"/>
        <v>1</v>
      </c>
    </row>
    <row r="21" spans="1:29" ht="15">
      <c r="A21" s="364"/>
      <c r="B21" s="588"/>
      <c r="C21" s="406"/>
      <c r="D21" s="407"/>
      <c r="E21" s="406"/>
      <c r="F21" s="408"/>
      <c r="G21" s="406"/>
      <c r="H21" s="407"/>
      <c r="I21" s="406"/>
      <c r="J21" s="407"/>
      <c r="K21" s="572"/>
      <c r="L21" s="2897"/>
      <c r="M21" s="2891"/>
      <c r="N21" s="2891"/>
      <c r="O21" s="2891"/>
      <c r="P21" s="3483"/>
      <c r="Q21" s="1484"/>
      <c r="R21" s="714"/>
      <c r="S21" s="715"/>
      <c r="T21" s="714"/>
      <c r="U21" s="715"/>
      <c r="V21" s="714"/>
      <c r="W21" s="715"/>
      <c r="X21" s="1487"/>
      <c r="Y21" s="3483"/>
      <c r="Z21" s="1488"/>
      <c r="AA21" s="1485">
        <v>1</v>
      </c>
      <c r="AB21" s="1485">
        <v>1</v>
      </c>
      <c r="AC21" s="1485">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83"/>
      <c r="Q22" s="1484" t="str">
        <f>B22</f>
        <v>楼层</v>
      </c>
      <c r="R22" s="714" t="s">
        <v>17</v>
      </c>
      <c r="S22" s="715">
        <f>F22</f>
        <v>100</v>
      </c>
      <c r="T22" s="714" t="s">
        <v>17</v>
      </c>
      <c r="U22" s="715">
        <f>H22</f>
        <v>100</v>
      </c>
      <c r="V22" s="714" t="s">
        <v>17</v>
      </c>
      <c r="W22" s="715">
        <f>J22</f>
        <v>100</v>
      </c>
      <c r="X22" s="1487"/>
      <c r="Y22" s="3483"/>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83"/>
      <c r="Q23" s="1484">
        <f>B23</f>
        <v>111</v>
      </c>
      <c r="R23" s="714" t="s">
        <v>17</v>
      </c>
      <c r="S23" s="715">
        <f>F23</f>
        <v>100</v>
      </c>
      <c r="T23" s="714" t="s">
        <v>17</v>
      </c>
      <c r="U23" s="715">
        <f>H23</f>
        <v>100</v>
      </c>
      <c r="V23" s="714" t="s">
        <v>17</v>
      </c>
      <c r="W23" s="715">
        <f>J23</f>
        <v>100</v>
      </c>
      <c r="X23" s="1487"/>
      <c r="Y23" s="3483"/>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83"/>
      <c r="Q24" s="1484">
        <f t="shared" ref="Q24:Q36" si="11">B24</f>
        <v>111</v>
      </c>
      <c r="R24" s="714" t="s">
        <v>17</v>
      </c>
      <c r="S24" s="715">
        <f>F24</f>
        <v>100</v>
      </c>
      <c r="T24" s="714" t="s">
        <v>17</v>
      </c>
      <c r="U24" s="715">
        <f>H24</f>
        <v>100</v>
      </c>
      <c r="V24" s="714" t="s">
        <v>17</v>
      </c>
      <c r="W24" s="715">
        <f>J24</f>
        <v>100</v>
      </c>
      <c r="X24" s="1487"/>
      <c r="Y24" s="3483"/>
      <c r="Z24" s="1488">
        <f>Q24</f>
        <v>111</v>
      </c>
      <c r="AA24" s="1485">
        <f t="shared" si="3"/>
        <v>1</v>
      </c>
      <c r="AB24" s="1485">
        <f t="shared" si="4"/>
        <v>1</v>
      </c>
      <c r="AC24" s="148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83"/>
      <c r="Q25" s="1475">
        <f t="shared" si="11"/>
        <v>111</v>
      </c>
      <c r="R25" s="710" t="s">
        <v>17</v>
      </c>
      <c r="S25" s="711">
        <f>F25</f>
        <v>100</v>
      </c>
      <c r="T25" s="710" t="s">
        <v>17</v>
      </c>
      <c r="U25" s="711">
        <f>H25</f>
        <v>100</v>
      </c>
      <c r="V25" s="710" t="s">
        <v>17</v>
      </c>
      <c r="W25" s="711">
        <f>J25</f>
        <v>100</v>
      </c>
      <c r="X25" s="712"/>
      <c r="Y25" s="3483"/>
      <c r="Z25" s="55">
        <f>Q25</f>
        <v>111</v>
      </c>
      <c r="AA25" s="1485">
        <f>D25/F25</f>
        <v>1</v>
      </c>
      <c r="AB25" s="1485">
        <f>D25/H25</f>
        <v>1</v>
      </c>
      <c r="AC25" s="1485">
        <f>D25/J25</f>
        <v>1</v>
      </c>
    </row>
    <row r="26" spans="1:29" ht="28.5">
      <c r="A26" s="608" t="s">
        <v>2143</v>
      </c>
      <c r="B26" s="66" t="s">
        <v>2292</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499" t="s">
        <v>2145</v>
      </c>
      <c r="Q26" s="1484" t="str">
        <f t="shared" si="11"/>
        <v>配套类型</v>
      </c>
      <c r="R26" s="714" t="s">
        <v>17</v>
      </c>
      <c r="S26" s="715">
        <f t="shared" ref="S26:S36" si="12">F26</f>
        <v>100</v>
      </c>
      <c r="T26" s="714" t="s">
        <v>17</v>
      </c>
      <c r="U26" s="715">
        <f t="shared" ref="U26:U36" si="13">H26</f>
        <v>100</v>
      </c>
      <c r="V26" s="714" t="s">
        <v>17</v>
      </c>
      <c r="W26" s="715">
        <f t="shared" ref="W26:W36" si="14">J26</f>
        <v>100</v>
      </c>
      <c r="X26" s="1487"/>
      <c r="Y26" s="3484" t="s">
        <v>2145</v>
      </c>
      <c r="Z26" s="1488" t="str">
        <f t="shared" ref="Z26:Z36" si="15">Q26</f>
        <v>配套类型</v>
      </c>
      <c r="AA26" s="1485">
        <f t="shared" si="3"/>
        <v>1</v>
      </c>
      <c r="AB26" s="1485">
        <f t="shared" si="4"/>
        <v>1</v>
      </c>
      <c r="AC26" s="1485">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84"/>
      <c r="Q27" s="716" t="str">
        <f t="shared" si="11"/>
        <v>项目停车位配比</v>
      </c>
      <c r="R27" s="717" t="s">
        <v>17</v>
      </c>
      <c r="S27" s="718">
        <f t="shared" si="12"/>
        <v>100</v>
      </c>
      <c r="T27" s="717" t="s">
        <v>17</v>
      </c>
      <c r="U27" s="718">
        <f t="shared" si="13"/>
        <v>100</v>
      </c>
      <c r="V27" s="717" t="s">
        <v>17</v>
      </c>
      <c r="W27" s="718">
        <f t="shared" si="14"/>
        <v>100</v>
      </c>
      <c r="X27" s="719"/>
      <c r="Y27" s="3484"/>
      <c r="Z27" s="720" t="str">
        <f t="shared" si="15"/>
        <v>项目停车位配比</v>
      </c>
      <c r="AA27" s="1485">
        <f t="shared" si="3"/>
        <v>1</v>
      </c>
      <c r="AB27" s="1485">
        <f t="shared" si="4"/>
        <v>1</v>
      </c>
      <c r="AC27" s="1485">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84"/>
      <c r="Q28" s="1484" t="str">
        <f t="shared" si="11"/>
        <v>公共部分装修</v>
      </c>
      <c r="R28" s="714" t="s">
        <v>17</v>
      </c>
      <c r="S28" s="715">
        <f t="shared" si="12"/>
        <v>100</v>
      </c>
      <c r="T28" s="714" t="s">
        <v>17</v>
      </c>
      <c r="U28" s="715">
        <f t="shared" si="13"/>
        <v>100</v>
      </c>
      <c r="V28" s="714" t="s">
        <v>17</v>
      </c>
      <c r="W28" s="715">
        <f t="shared" si="14"/>
        <v>100</v>
      </c>
      <c r="X28" s="1487"/>
      <c r="Y28" s="3484"/>
      <c r="Z28" s="1488" t="str">
        <f t="shared" si="15"/>
        <v>公共部分装修</v>
      </c>
      <c r="AA28" s="1485">
        <f t="shared" si="3"/>
        <v>1</v>
      </c>
      <c r="AB28" s="1485">
        <f t="shared" si="4"/>
        <v>1</v>
      </c>
      <c r="AC28" s="1485">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84"/>
      <c r="Q29" s="1484" t="str">
        <f t="shared" si="11"/>
        <v>成新率</v>
      </c>
      <c r="R29" s="714" t="s">
        <v>17</v>
      </c>
      <c r="S29" s="715" t="e">
        <f t="shared" si="12"/>
        <v>#N/A</v>
      </c>
      <c r="T29" s="714" t="s">
        <v>17</v>
      </c>
      <c r="U29" s="715" t="e">
        <f t="shared" si="13"/>
        <v>#N/A</v>
      </c>
      <c r="V29" s="714" t="s">
        <v>17</v>
      </c>
      <c r="W29" s="715" t="e">
        <f t="shared" si="14"/>
        <v>#N/A</v>
      </c>
      <c r="X29" s="1487"/>
      <c r="Y29" s="3484"/>
      <c r="Z29" s="1488" t="str">
        <f t="shared" si="15"/>
        <v>成新率</v>
      </c>
      <c r="AA29" s="1485" t="e">
        <f t="shared" si="3"/>
        <v>#N/A</v>
      </c>
      <c r="AB29" s="1485" t="e">
        <f t="shared" si="4"/>
        <v>#N/A</v>
      </c>
      <c r="AC29" s="1485"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84"/>
      <c r="Q30" s="1484" t="str">
        <f t="shared" si="11"/>
        <v>物业等级</v>
      </c>
      <c r="R30" s="714" t="s">
        <v>17</v>
      </c>
      <c r="S30" s="715">
        <f t="shared" si="12"/>
        <v>100</v>
      </c>
      <c r="T30" s="714" t="s">
        <v>17</v>
      </c>
      <c r="U30" s="715">
        <f t="shared" si="13"/>
        <v>100</v>
      </c>
      <c r="V30" s="714" t="s">
        <v>17</v>
      </c>
      <c r="W30" s="715">
        <f t="shared" si="14"/>
        <v>100</v>
      </c>
      <c r="X30" s="1487"/>
      <c r="Y30" s="3484"/>
      <c r="Z30" s="1488" t="str">
        <f t="shared" si="15"/>
        <v>物业等级</v>
      </c>
      <c r="AA30" s="1485">
        <f t="shared" si="3"/>
        <v>1</v>
      </c>
      <c r="AB30" s="1485">
        <f t="shared" si="4"/>
        <v>1</v>
      </c>
      <c r="AC30" s="1485">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84"/>
      <c r="Q31" s="1475" t="str">
        <f t="shared" si="11"/>
        <v>停车位面积</v>
      </c>
      <c r="R31" s="710" t="s">
        <v>17</v>
      </c>
      <c r="S31" s="711" t="e">
        <f t="shared" si="12"/>
        <v>#N/A</v>
      </c>
      <c r="T31" s="710" t="s">
        <v>17</v>
      </c>
      <c r="U31" s="711" t="e">
        <f t="shared" si="13"/>
        <v>#N/A</v>
      </c>
      <c r="V31" s="710" t="s">
        <v>17</v>
      </c>
      <c r="W31" s="711" t="e">
        <f t="shared" si="14"/>
        <v>#N/A</v>
      </c>
      <c r="X31" s="712"/>
      <c r="Y31" s="348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84" t="s">
        <v>2145</v>
      </c>
      <c r="Q32" s="1484" t="str">
        <f t="shared" si="11"/>
        <v>车位类型</v>
      </c>
      <c r="R32" s="714" t="s">
        <v>17</v>
      </c>
      <c r="S32" s="715">
        <f t="shared" si="12"/>
        <v>100</v>
      </c>
      <c r="T32" s="714" t="s">
        <v>17</v>
      </c>
      <c r="U32" s="715">
        <f t="shared" si="13"/>
        <v>100</v>
      </c>
      <c r="V32" s="714" t="s">
        <v>17</v>
      </c>
      <c r="W32" s="715">
        <f t="shared" si="14"/>
        <v>100</v>
      </c>
      <c r="X32" s="1487"/>
      <c r="Y32" s="3484" t="s">
        <v>2145</v>
      </c>
      <c r="Z32" s="1488" t="str">
        <f t="shared" si="15"/>
        <v>车位类型</v>
      </c>
      <c r="AA32" s="1485">
        <f t="shared" si="3"/>
        <v>1</v>
      </c>
      <c r="AB32" s="1485">
        <f t="shared" si="4"/>
        <v>1</v>
      </c>
      <c r="AC32" s="1485">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84"/>
      <c r="Q33" s="1484" t="str">
        <f t="shared" si="11"/>
        <v>是否直接入户</v>
      </c>
      <c r="R33" s="714" t="s">
        <v>17</v>
      </c>
      <c r="S33" s="715">
        <f t="shared" si="12"/>
        <v>100</v>
      </c>
      <c r="T33" s="714" t="s">
        <v>17</v>
      </c>
      <c r="U33" s="715">
        <f t="shared" si="13"/>
        <v>100</v>
      </c>
      <c r="V33" s="714" t="s">
        <v>17</v>
      </c>
      <c r="W33" s="715">
        <f t="shared" si="14"/>
        <v>100</v>
      </c>
      <c r="X33" s="1487"/>
      <c r="Y33" s="3484"/>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84"/>
      <c r="Q34" s="1484">
        <f t="shared" si="11"/>
        <v>111</v>
      </c>
      <c r="R34" s="714" t="s">
        <v>17</v>
      </c>
      <c r="S34" s="715">
        <f t="shared" si="12"/>
        <v>100</v>
      </c>
      <c r="T34" s="714" t="s">
        <v>17</v>
      </c>
      <c r="U34" s="715">
        <f t="shared" si="13"/>
        <v>100</v>
      </c>
      <c r="V34" s="714" t="s">
        <v>17</v>
      </c>
      <c r="W34" s="715">
        <f t="shared" si="14"/>
        <v>100</v>
      </c>
      <c r="X34" s="1487"/>
      <c r="Y34" s="3484"/>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84"/>
      <c r="Q35" s="716">
        <f t="shared" si="11"/>
        <v>111</v>
      </c>
      <c r="R35" s="717" t="s">
        <v>17</v>
      </c>
      <c r="S35" s="718">
        <f t="shared" si="12"/>
        <v>100</v>
      </c>
      <c r="T35" s="717" t="s">
        <v>17</v>
      </c>
      <c r="U35" s="718">
        <f t="shared" si="13"/>
        <v>100</v>
      </c>
      <c r="V35" s="717" t="s">
        <v>17</v>
      </c>
      <c r="W35" s="718">
        <f t="shared" si="14"/>
        <v>100</v>
      </c>
      <c r="X35" s="719"/>
      <c r="Y35" s="3484"/>
      <c r="Z35" s="720">
        <f t="shared" si="15"/>
        <v>111</v>
      </c>
      <c r="AA35" s="1485">
        <f t="shared" si="3"/>
        <v>1</v>
      </c>
      <c r="AB35" s="1485">
        <f t="shared" si="4"/>
        <v>1</v>
      </c>
      <c r="AC35" s="148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84"/>
      <c r="Q36" s="1484">
        <f t="shared" si="11"/>
        <v>111</v>
      </c>
      <c r="R36" s="714" t="s">
        <v>17</v>
      </c>
      <c r="S36" s="715">
        <f t="shared" si="12"/>
        <v>100</v>
      </c>
      <c r="T36" s="714" t="s">
        <v>17</v>
      </c>
      <c r="U36" s="715">
        <f t="shared" si="13"/>
        <v>100</v>
      </c>
      <c r="V36" s="714" t="s">
        <v>17</v>
      </c>
      <c r="W36" s="715">
        <f t="shared" si="14"/>
        <v>100</v>
      </c>
      <c r="X36" s="1487"/>
      <c r="Y36" s="3484"/>
      <c r="Z36" s="1488">
        <f t="shared" si="15"/>
        <v>111</v>
      </c>
      <c r="AA36" s="1485">
        <f t="shared" si="3"/>
        <v>1</v>
      </c>
      <c r="AB36" s="1485">
        <f t="shared" si="4"/>
        <v>1</v>
      </c>
      <c r="AC36" s="1485">
        <f t="shared" si="5"/>
        <v>1</v>
      </c>
    </row>
    <row r="37" spans="1:29" ht="15">
      <c r="A37" s="438" t="s">
        <v>2300</v>
      </c>
      <c r="B37" s="2106" t="s">
        <v>2301</v>
      </c>
      <c r="C37" s="1266" t="s">
        <v>1</v>
      </c>
      <c r="D37" s="1267"/>
      <c r="E37" s="1268"/>
      <c r="F37" s="1269"/>
      <c r="G37" s="1270"/>
      <c r="H37" s="1271"/>
      <c r="I37" s="1268"/>
      <c r="J37" s="1271"/>
      <c r="K37" s="576"/>
      <c r="L37" s="2899"/>
      <c r="M37" s="2900"/>
      <c r="N37" s="2891"/>
      <c r="O37" s="2900"/>
      <c r="P37" s="3465" t="str">
        <f>A37</f>
        <v>成交单价</v>
      </c>
      <c r="Q37" s="3465"/>
      <c r="R37" s="3531">
        <f>E37</f>
        <v>0</v>
      </c>
      <c r="S37" s="3531"/>
      <c r="T37" s="3531">
        <f>G37</f>
        <v>0</v>
      </c>
      <c r="U37" s="3531"/>
      <c r="V37" s="3531">
        <f>I37</f>
        <v>0</v>
      </c>
      <c r="W37" s="3531"/>
      <c r="X37" s="699"/>
      <c r="Y37" s="721"/>
      <c r="Z37" s="699"/>
      <c r="AA37" s="699"/>
      <c r="AB37" s="699"/>
      <c r="AC37" s="699"/>
    </row>
    <row r="38" spans="1:29" ht="15.75" thickBot="1">
      <c r="A38" s="445" t="s">
        <v>2302</v>
      </c>
      <c r="B38" s="446" t="str">
        <f>B37</f>
        <v>元/车位</v>
      </c>
      <c r="C38" s="1272" t="e">
        <f>R39</f>
        <v>#DIV/0!</v>
      </c>
      <c r="D38" s="2485" t="s">
        <v>2638</v>
      </c>
      <c r="E38" s="1273" t="e">
        <f>R38</f>
        <v>#DIV/0!</v>
      </c>
      <c r="F38" s="2486"/>
      <c r="G38" s="1272" t="e">
        <f>T38</f>
        <v>#DIV/0!</v>
      </c>
      <c r="H38" s="2486"/>
      <c r="I38" s="1273" t="e">
        <f>V38</f>
        <v>#DIV/0!</v>
      </c>
      <c r="J38" s="2486"/>
      <c r="K38" s="2488">
        <f>F38+H38+J38</f>
        <v>0</v>
      </c>
      <c r="L38" s="2899"/>
      <c r="M38" s="2900"/>
      <c r="N38" s="2900"/>
      <c r="O38" s="2900"/>
      <c r="P38" s="3465" t="str">
        <f>A38</f>
        <v>比较价值（元/平方米）</v>
      </c>
      <c r="Q38" s="3465"/>
      <c r="R38" s="3531" t="e">
        <f>IF(F1="售价",ROUND(PRODUCT(R37,AA7:AA36),0),ROUND(PRODUCT(R37,AA7:AA36),1))</f>
        <v>#DIV/0!</v>
      </c>
      <c r="S38" s="3531"/>
      <c r="T38" s="3531" t="e">
        <f>IF(F1="售价",ROUND(PRODUCT(T37,AB7:AB36),0),ROUND(PRODUCT(T37,AB7:AB36),1))</f>
        <v>#DIV/0!</v>
      </c>
      <c r="U38" s="3531"/>
      <c r="V38" s="3531" t="e">
        <f>IF(F1="售价",ROUND(PRODUCT(V37,AC7:AC36),0),ROUND(PRODUCT(V37,AC7:AC36),1))</f>
        <v>#DIV/0!</v>
      </c>
      <c r="W38" s="3531"/>
      <c r="X38" s="699"/>
      <c r="Y38" s="699"/>
      <c r="Z38" s="699"/>
      <c r="AA38" s="699"/>
      <c r="AB38" s="699"/>
      <c r="AC38" s="699"/>
    </row>
    <row r="39" spans="1:29" ht="15.75" thickBot="1">
      <c r="A39" s="449" t="s">
        <v>2303</v>
      </c>
      <c r="B39" s="450"/>
      <c r="C39" s="1275" t="e">
        <f>R39</f>
        <v>#DIV/0!</v>
      </c>
      <c r="D39" s="1275"/>
      <c r="E39" s="1275"/>
      <c r="F39" s="1275"/>
      <c r="G39" s="1275"/>
      <c r="H39" s="1275"/>
      <c r="I39" s="1275"/>
      <c r="J39" s="1275"/>
      <c r="K39" s="577"/>
      <c r="L39" s="2899"/>
      <c r="M39" s="2900"/>
      <c r="N39" s="2900"/>
      <c r="O39" s="2900"/>
      <c r="P39" s="3500" t="str">
        <f>A39</f>
        <v>估价对象XX用房的比较价值（楼面单价，元/平方米）</v>
      </c>
      <c r="Q39" s="3501"/>
      <c r="R39" s="3557" t="e">
        <f>IF(F1="售价",ROUND(IF(D38="简单平均",AVERAGE(R38:W38),R38*F38+T38*H38+V38*J38),0),ROUND(IF(D38="简单平均",AVERAGE(R38:V38),R38*F38+T38*H38+V38*J38),1))</f>
        <v>#DIV/0!</v>
      </c>
      <c r="S39" s="3557"/>
      <c r="T39" s="3557"/>
      <c r="U39" s="3557"/>
      <c r="V39" s="3557"/>
      <c r="W39" s="3557"/>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78" t="s">
        <v>2307</v>
      </c>
      <c r="B47" s="1036"/>
      <c r="C47" s="1049"/>
      <c r="D47" s="1049"/>
      <c r="E47" s="1049"/>
      <c r="F47" s="1279"/>
      <c r="G47" s="1279"/>
      <c r="H47" s="1049"/>
      <c r="I47" s="1049"/>
      <c r="J47" s="1049"/>
      <c r="K47" s="1050"/>
      <c r="L47" s="1051"/>
      <c r="M47" s="1049"/>
      <c r="N47" s="2944"/>
      <c r="O47" s="2944"/>
      <c r="P47" s="2933"/>
      <c r="Q47" s="2914"/>
      <c r="R47" s="2900"/>
      <c r="S47" s="2900"/>
      <c r="T47" s="2900"/>
      <c r="U47" s="2900"/>
      <c r="V47" s="2900"/>
      <c r="W47" s="2900"/>
      <c r="X47" s="2900"/>
      <c r="Y47" s="2900"/>
      <c r="Z47" s="2900"/>
      <c r="AA47" s="2900"/>
      <c r="AB47" s="2900"/>
      <c r="AC47" s="2900"/>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4"/>
      <c r="Q48" s="2916"/>
      <c r="R48" s="2916"/>
      <c r="S48" s="2916"/>
      <c r="T48" s="2916"/>
      <c r="U48" s="2916"/>
      <c r="V48" s="2916"/>
      <c r="W48" s="2916"/>
      <c r="X48" s="2916"/>
      <c r="Y48" s="2916"/>
      <c r="Z48" s="2916"/>
      <c r="AA48" s="2916"/>
      <c r="AB48" s="2916"/>
      <c r="AC48" s="2916"/>
    </row>
    <row r="49" spans="1:29" s="113" customFormat="1" ht="15">
      <c r="A49" s="466"/>
      <c r="B49" s="467"/>
      <c r="C49" s="1289">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2183</v>
      </c>
      <c r="C65" s="535" t="s">
        <v>2177</v>
      </c>
      <c r="D65" s="535" t="s">
        <v>2178</v>
      </c>
      <c r="E65" s="535" t="s">
        <v>2179</v>
      </c>
      <c r="F65" s="535" t="s">
        <v>2180</v>
      </c>
      <c r="G65" s="535" t="s">
        <v>2181</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2269</v>
      </c>
      <c r="C67" s="616" t="s">
        <v>2255</v>
      </c>
      <c r="D67" s="616" t="s">
        <v>2256</v>
      </c>
      <c r="E67" s="616" t="s">
        <v>2257</v>
      </c>
      <c r="F67" s="616" t="s">
        <v>2258</v>
      </c>
      <c r="G67" s="616" t="s">
        <v>2259</v>
      </c>
      <c r="H67" s="496"/>
      <c r="I67" s="496"/>
      <c r="J67" s="496"/>
      <c r="K67" s="496"/>
      <c r="L67" s="496"/>
      <c r="M67" s="1241"/>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2189</v>
      </c>
      <c r="C69" s="535" t="s">
        <v>2177</v>
      </c>
      <c r="D69" s="535" t="s">
        <v>2178</v>
      </c>
      <c r="E69" s="535" t="s">
        <v>2179</v>
      </c>
      <c r="F69" s="535" t="s">
        <v>2180</v>
      </c>
      <c r="G69" s="535" t="s">
        <v>2181</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2309</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2143</v>
      </c>
      <c r="B79" s="485" t="s">
        <v>2310</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2311</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2196</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2313</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2315</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2316</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2"/>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4"/>
      <c r="D2" s="1016" t="e">
        <f ca="1">SUMIF(INDIRECT("'"&amp;F2&amp;"'"&amp;"!A:A"),"承租人权益价值",INDIRECT("'"&amp;F2&amp;"'"&amp;"!c:c"))</f>
        <v>#REF!</v>
      </c>
      <c r="E2" s="2015" t="s">
        <v>1908</v>
      </c>
      <c r="F2" s="2016"/>
      <c r="G2" s="1017"/>
      <c r="H2" s="1017"/>
      <c r="I2" s="1017"/>
      <c r="J2" s="1017"/>
      <c r="K2" s="1019"/>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9"/>
      <c r="M3" s="2910"/>
      <c r="N3" s="2910"/>
      <c r="O3" s="2910"/>
      <c r="P3" s="708"/>
      <c r="Q3" s="708"/>
      <c r="R3" s="708"/>
      <c r="S3" s="708"/>
      <c r="T3" s="708"/>
      <c r="U3" s="708"/>
      <c r="V3" s="708"/>
      <c r="W3" s="708"/>
      <c r="X3" s="708"/>
      <c r="Y3" s="708"/>
      <c r="Z3" s="708"/>
      <c r="AA3" s="708"/>
      <c r="AB3" s="725"/>
      <c r="AC3" s="722"/>
    </row>
    <row r="4" spans="1:29"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29"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29"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7"/>
      <c r="AC6" s="3487"/>
    </row>
    <row r="7" spans="1:29" s="113" customFormat="1" ht="15.75" thickBot="1">
      <c r="A7" s="368" t="s">
        <v>2128</v>
      </c>
      <c r="B7" s="369"/>
      <c r="C7" s="370">
        <f>'数据-取费表'!B2</f>
        <v>44788</v>
      </c>
      <c r="D7" s="371">
        <v>100</v>
      </c>
      <c r="E7" s="372"/>
      <c r="F7" s="373">
        <f>SUMIF(46:46,YEAR(E7)&amp;"-"&amp;MONTH(E7),47:47)</f>
        <v>0</v>
      </c>
      <c r="G7" s="2107"/>
      <c r="H7" s="371">
        <f>SUMIF(46:46,YEAR(G7)&amp;"-"&amp;MONTH(G7),47:47)</f>
        <v>0</v>
      </c>
      <c r="I7" s="372"/>
      <c r="J7" s="371">
        <f>SUMIF(46:46,YEAR(I7)&amp;"-"&amp;MONTH(I7),47:47)</f>
        <v>0</v>
      </c>
      <c r="K7" s="568"/>
      <c r="L7" s="2892"/>
      <c r="M7" s="2893"/>
      <c r="N7" s="2893"/>
      <c r="O7" s="2893"/>
      <c r="P7" s="3466" t="s">
        <v>2129</v>
      </c>
      <c r="Q7" s="3476"/>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65" t="s">
        <v>2135</v>
      </c>
      <c r="Q9" s="1475"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65"/>
      <c r="Q10" s="1475"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26">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65"/>
      <c r="Q11" s="1475">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26">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65"/>
      <c r="Q12" s="1475">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26">
        <v>111</v>
      </c>
      <c r="C13" s="393"/>
      <c r="D13" s="394">
        <v>100</v>
      </c>
      <c r="E13" s="428"/>
      <c r="F13" s="384">
        <f>SUMIF(59:59,E13,60:60)-SUMIF(59:59,C13,60:60)+100</f>
        <v>100</v>
      </c>
      <c r="G13" s="2108"/>
      <c r="H13" s="397">
        <f>SUMIF(59:59,G13,60:60)-SUMIF(59:59,C13,60:60)+100</f>
        <v>100</v>
      </c>
      <c r="I13" s="428"/>
      <c r="J13" s="394">
        <f>SUMIF(59:59,I13,60:60)-SUMIF(59:59,C13,60:60)+100</f>
        <v>100</v>
      </c>
      <c r="K13" s="570"/>
      <c r="L13" s="2897"/>
      <c r="M13" s="2891"/>
      <c r="N13" s="2891"/>
      <c r="O13" s="2949"/>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99" t="s">
        <v>2139</v>
      </c>
      <c r="B14" s="65" t="s">
        <v>2289</v>
      </c>
      <c r="C14" s="210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82" t="s">
        <v>2140</v>
      </c>
      <c r="Q14" s="1484" t="str">
        <f t="shared" si="6"/>
        <v>交通便捷度</v>
      </c>
      <c r="R14" s="714" t="s">
        <v>17</v>
      </c>
      <c r="S14" s="715">
        <f t="shared" si="0"/>
        <v>100</v>
      </c>
      <c r="T14" s="714" t="s">
        <v>17</v>
      </c>
      <c r="U14" s="715">
        <f t="shared" si="1"/>
        <v>100</v>
      </c>
      <c r="V14" s="714" t="s">
        <v>17</v>
      </c>
      <c r="W14" s="715">
        <f t="shared" si="2"/>
        <v>100</v>
      </c>
      <c r="X14" s="1487"/>
      <c r="Y14" s="3482"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7"/>
      <c r="M15" s="2891"/>
      <c r="N15" s="2891"/>
      <c r="O15" s="2949"/>
      <c r="P15" s="3483"/>
      <c r="Q15" s="1484"/>
      <c r="R15" s="714"/>
      <c r="S15" s="715"/>
      <c r="T15" s="714"/>
      <c r="U15" s="715"/>
      <c r="V15" s="714"/>
      <c r="W15" s="715"/>
      <c r="X15" s="1487"/>
      <c r="Y15" s="3483"/>
      <c r="Z15" s="1488"/>
      <c r="AA15" s="1485">
        <v>1</v>
      </c>
      <c r="AB15" s="1485">
        <v>1</v>
      </c>
      <c r="AC15" s="1485">
        <v>1</v>
      </c>
    </row>
    <row r="16" spans="1:29" ht="42.75">
      <c r="A16" s="387"/>
      <c r="B16" s="410" t="s">
        <v>2268</v>
      </c>
      <c r="C16" s="203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83"/>
      <c r="Q16" s="1484" t="str">
        <f>B16</f>
        <v>公共配套设施</v>
      </c>
      <c r="R16" s="714" t="s">
        <v>17</v>
      </c>
      <c r="S16" s="715">
        <f>F16</f>
        <v>100</v>
      </c>
      <c r="T16" s="714" t="s">
        <v>17</v>
      </c>
      <c r="U16" s="715">
        <f>H16</f>
        <v>100</v>
      </c>
      <c r="V16" s="714" t="s">
        <v>17</v>
      </c>
      <c r="W16" s="715">
        <f>J16</f>
        <v>100</v>
      </c>
      <c r="X16" s="1487"/>
      <c r="Y16" s="3483"/>
      <c r="Z16" s="1488" t="str">
        <f>Q16</f>
        <v>公共配套设施</v>
      </c>
      <c r="AA16" s="1485">
        <f t="shared" si="3"/>
        <v>1</v>
      </c>
      <c r="AB16" s="1485">
        <f t="shared" si="4"/>
        <v>1</v>
      </c>
      <c r="AC16" s="1485">
        <f t="shared" si="5"/>
        <v>1</v>
      </c>
    </row>
    <row r="17" spans="1:29" ht="15">
      <c r="A17" s="387"/>
      <c r="B17" s="415"/>
      <c r="C17" s="2034"/>
      <c r="D17" s="407"/>
      <c r="E17" s="406"/>
      <c r="F17" s="408"/>
      <c r="G17" s="406"/>
      <c r="H17" s="407"/>
      <c r="I17" s="406"/>
      <c r="J17" s="407"/>
      <c r="K17" s="572"/>
      <c r="L17" s="2897"/>
      <c r="M17" s="2891"/>
      <c r="N17" s="2891"/>
      <c r="O17" s="2949"/>
      <c r="P17" s="3483"/>
      <c r="Q17" s="1484"/>
      <c r="R17" s="714"/>
      <c r="S17" s="715"/>
      <c r="T17" s="714"/>
      <c r="U17" s="715"/>
      <c r="V17" s="714"/>
      <c r="W17" s="715"/>
      <c r="X17" s="1487"/>
      <c r="Y17" s="3483"/>
      <c r="Z17" s="1488"/>
      <c r="AA17" s="1485">
        <v>1</v>
      </c>
      <c r="AB17" s="1485">
        <v>1</v>
      </c>
      <c r="AC17" s="1485">
        <v>1</v>
      </c>
    </row>
    <row r="18" spans="1:29" ht="28.5">
      <c r="A18" s="387"/>
      <c r="B18" s="1243" t="s">
        <v>2269</v>
      </c>
      <c r="C18" s="203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83"/>
      <c r="Q18" s="1484" t="str">
        <f>B18</f>
        <v>基础设施水平</v>
      </c>
      <c r="R18" s="714" t="s">
        <v>17</v>
      </c>
      <c r="S18" s="715">
        <f>F18</f>
        <v>100</v>
      </c>
      <c r="T18" s="714" t="s">
        <v>17</v>
      </c>
      <c r="U18" s="715">
        <f>H18</f>
        <v>100</v>
      </c>
      <c r="V18" s="714" t="s">
        <v>17</v>
      </c>
      <c r="W18" s="715">
        <f>J18</f>
        <v>100</v>
      </c>
      <c r="X18" s="1487"/>
      <c r="Y18" s="3483"/>
      <c r="Z18" s="1488" t="str">
        <f>Q18</f>
        <v>基础设施水平</v>
      </c>
      <c r="AA18" s="1485">
        <f t="shared" ref="AA18" si="8">D18/F18</f>
        <v>1</v>
      </c>
      <c r="AB18" s="1485">
        <f t="shared" ref="AB18" si="9">D18/H18</f>
        <v>1</v>
      </c>
      <c r="AC18" s="1485">
        <f t="shared" ref="AC18" si="10">D18/J18</f>
        <v>1</v>
      </c>
    </row>
    <row r="19" spans="1:29" ht="15">
      <c r="A19" s="387"/>
      <c r="B19" s="1243"/>
      <c r="C19" s="2034"/>
      <c r="D19" s="409"/>
      <c r="E19" s="2034"/>
      <c r="F19" s="412"/>
      <c r="G19" s="2034"/>
      <c r="H19" s="407"/>
      <c r="I19" s="406"/>
      <c r="J19" s="407"/>
      <c r="K19" s="1242"/>
      <c r="L19" s="2897"/>
      <c r="M19" s="2891"/>
      <c r="N19" s="2891"/>
      <c r="O19" s="2949"/>
      <c r="P19" s="3483"/>
      <c r="Q19" s="1484"/>
      <c r="R19" s="714"/>
      <c r="S19" s="715"/>
      <c r="T19" s="714"/>
      <c r="U19" s="715"/>
      <c r="V19" s="714"/>
      <c r="W19" s="715"/>
      <c r="X19" s="1487"/>
      <c r="Y19" s="3483"/>
      <c r="Z19" s="1488"/>
      <c r="AA19" s="1485">
        <v>1</v>
      </c>
      <c r="AB19" s="1485">
        <v>1</v>
      </c>
      <c r="AC19" s="1485">
        <v>1</v>
      </c>
    </row>
    <row r="20" spans="1:29" ht="57">
      <c r="A20" s="387"/>
      <c r="B20" s="410" t="s">
        <v>2290</v>
      </c>
      <c r="C20" s="203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83"/>
      <c r="Q20" s="1484" t="str">
        <f>B20</f>
        <v>自然及人文环境</v>
      </c>
      <c r="R20" s="714" t="s">
        <v>17</v>
      </c>
      <c r="S20" s="715">
        <f>F20</f>
        <v>100</v>
      </c>
      <c r="T20" s="714" t="s">
        <v>17</v>
      </c>
      <c r="U20" s="715">
        <f>H20</f>
        <v>100</v>
      </c>
      <c r="V20" s="714" t="s">
        <v>17</v>
      </c>
      <c r="W20" s="715">
        <f>J20</f>
        <v>100</v>
      </c>
      <c r="X20" s="1487"/>
      <c r="Y20" s="3483"/>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7"/>
      <c r="M21" s="2891"/>
      <c r="N21" s="2891"/>
      <c r="O21" s="2949"/>
      <c r="P21" s="3483"/>
      <c r="Q21" s="1484"/>
      <c r="R21" s="714"/>
      <c r="S21" s="715"/>
      <c r="T21" s="714"/>
      <c r="U21" s="715"/>
      <c r="V21" s="714"/>
      <c r="W21" s="715"/>
      <c r="X21" s="1487"/>
      <c r="Y21" s="3483"/>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83"/>
      <c r="Q22" s="1484" t="str">
        <f>B22</f>
        <v>楼层</v>
      </c>
      <c r="R22" s="714" t="s">
        <v>17</v>
      </c>
      <c r="S22" s="715">
        <f>F22</f>
        <v>100</v>
      </c>
      <c r="T22" s="714" t="s">
        <v>17</v>
      </c>
      <c r="U22" s="715">
        <f>H22</f>
        <v>100</v>
      </c>
      <c r="V22" s="714" t="s">
        <v>17</v>
      </c>
      <c r="W22" s="715">
        <f>J22</f>
        <v>100</v>
      </c>
      <c r="X22" s="1487"/>
      <c r="Y22" s="3483"/>
      <c r="Z22" s="1488" t="str">
        <f>Q22</f>
        <v>楼层</v>
      </c>
      <c r="AA22" s="1485">
        <f t="shared" si="3"/>
        <v>1</v>
      </c>
      <c r="AB22" s="1485">
        <f t="shared" si="4"/>
        <v>1</v>
      </c>
      <c r="AC22" s="1485">
        <f t="shared" si="5"/>
        <v>1</v>
      </c>
    </row>
    <row r="23" spans="1:29" ht="15">
      <c r="A23" s="364"/>
      <c r="B23" s="2026">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83"/>
      <c r="Q23" s="1484">
        <f>B23</f>
        <v>111</v>
      </c>
      <c r="R23" s="714" t="s">
        <v>17</v>
      </c>
      <c r="S23" s="715">
        <f>F23</f>
        <v>100</v>
      </c>
      <c r="T23" s="714" t="s">
        <v>17</v>
      </c>
      <c r="U23" s="715">
        <f>H23</f>
        <v>100</v>
      </c>
      <c r="V23" s="714" t="s">
        <v>17</v>
      </c>
      <c r="W23" s="715">
        <f>J23</f>
        <v>100</v>
      </c>
      <c r="X23" s="1487"/>
      <c r="Y23" s="3483"/>
      <c r="Z23" s="1488">
        <f>Q23</f>
        <v>111</v>
      </c>
      <c r="AA23" s="1485">
        <f t="shared" si="3"/>
        <v>1</v>
      </c>
      <c r="AB23" s="1485">
        <f t="shared" si="4"/>
        <v>1</v>
      </c>
      <c r="AC23" s="1485">
        <f t="shared" si="5"/>
        <v>1</v>
      </c>
    </row>
    <row r="24" spans="1:29" ht="15">
      <c r="A24" s="387"/>
      <c r="B24" s="2026">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83"/>
      <c r="Q24" s="1484">
        <f t="shared" ref="Q24:Q34" si="11">B24</f>
        <v>111</v>
      </c>
      <c r="R24" s="714" t="s">
        <v>17</v>
      </c>
      <c r="S24" s="715">
        <f>F24</f>
        <v>100</v>
      </c>
      <c r="T24" s="714" t="s">
        <v>17</v>
      </c>
      <c r="U24" s="715">
        <f>H24</f>
        <v>100</v>
      </c>
      <c r="V24" s="714" t="s">
        <v>17</v>
      </c>
      <c r="W24" s="715">
        <f>J24</f>
        <v>100</v>
      </c>
      <c r="X24" s="1487"/>
      <c r="Y24" s="3483"/>
      <c r="Z24" s="1488">
        <f>Q24</f>
        <v>111</v>
      </c>
      <c r="AA24" s="1485">
        <f t="shared" si="3"/>
        <v>1</v>
      </c>
      <c r="AB24" s="1485">
        <f t="shared" si="4"/>
        <v>1</v>
      </c>
      <c r="AC24" s="1485">
        <f t="shared" si="5"/>
        <v>1</v>
      </c>
    </row>
    <row r="25" spans="1:29" s="113" customFormat="1" ht="15.75" thickBot="1">
      <c r="A25" s="390"/>
      <c r="B25" s="2026">
        <v>111</v>
      </c>
      <c r="C25" s="2109"/>
      <c r="D25" s="621">
        <v>100</v>
      </c>
      <c r="E25" s="2109"/>
      <c r="F25" s="622">
        <f>SUMIF(75:75,E25,76:76)-SUMIF(75:75,C25,76:76)+100</f>
        <v>100</v>
      </c>
      <c r="G25" s="2109"/>
      <c r="H25" s="621">
        <f>SUMIF(75:75,G25,76:76)-SUMIF(75:75,C25,76:76)+100</f>
        <v>100</v>
      </c>
      <c r="I25" s="2109"/>
      <c r="J25" s="621">
        <f>SUMIF(75:75,I25,76:76)-SUMIF(75:75,C25,76:76)+100</f>
        <v>100</v>
      </c>
      <c r="K25" s="570"/>
      <c r="L25" s="2892"/>
      <c r="M25" s="2893"/>
      <c r="N25" s="2893"/>
      <c r="O25" s="2947"/>
      <c r="P25" s="3483"/>
      <c r="Q25" s="1475">
        <f t="shared" si="11"/>
        <v>111</v>
      </c>
      <c r="R25" s="710" t="s">
        <v>17</v>
      </c>
      <c r="S25" s="711">
        <f>F25</f>
        <v>100</v>
      </c>
      <c r="T25" s="710" t="s">
        <v>17</v>
      </c>
      <c r="U25" s="711">
        <f>H25</f>
        <v>100</v>
      </c>
      <c r="V25" s="710" t="s">
        <v>17</v>
      </c>
      <c r="W25" s="711">
        <f>J25</f>
        <v>100</v>
      </c>
      <c r="X25" s="712"/>
      <c r="Y25" s="3483"/>
      <c r="Z25" s="55">
        <f>Q25</f>
        <v>111</v>
      </c>
      <c r="AA25" s="1485">
        <f>D25/F25</f>
        <v>1</v>
      </c>
      <c r="AB25" s="1485">
        <f>D25/H25</f>
        <v>1</v>
      </c>
      <c r="AC25" s="1485">
        <f>D25/J25</f>
        <v>1</v>
      </c>
    </row>
    <row r="26" spans="1:29" ht="28.5">
      <c r="A26" s="425" t="s">
        <v>2143</v>
      </c>
      <c r="B26" s="67" t="s">
        <v>2294</v>
      </c>
      <c r="C26" s="2100"/>
      <c r="D26" s="426">
        <v>100</v>
      </c>
      <c r="E26" s="2100"/>
      <c r="F26" s="623">
        <f>SUMIF(77:77,E26,78:78)-SUMIF(77:77,C26,78:78)+100</f>
        <v>100</v>
      </c>
      <c r="G26" s="2100"/>
      <c r="H26" s="426">
        <f>SUMIF(77:77,G26,78:78)-SUMIF(77:77,C26,78:78)+100</f>
        <v>100</v>
      </c>
      <c r="I26" s="2100"/>
      <c r="J26" s="426">
        <f>SUMIF(77:77,I26,78:78)-SUMIF(77:77,C26,78:78)+100</f>
        <v>100</v>
      </c>
      <c r="K26" s="569"/>
      <c r="L26" s="2897"/>
      <c r="M26" s="2891"/>
      <c r="N26" s="2891"/>
      <c r="O26" s="2949"/>
      <c r="P26" s="3499" t="s">
        <v>2145</v>
      </c>
      <c r="Q26" s="1484" t="str">
        <f t="shared" si="11"/>
        <v>公共部分装修</v>
      </c>
      <c r="R26" s="714" t="s">
        <v>17</v>
      </c>
      <c r="S26" s="715">
        <f t="shared" ref="S26:S34" si="12">F26</f>
        <v>100</v>
      </c>
      <c r="T26" s="714" t="s">
        <v>17</v>
      </c>
      <c r="U26" s="715">
        <f t="shared" ref="U26:U34" si="13">H26</f>
        <v>100</v>
      </c>
      <c r="V26" s="714" t="s">
        <v>17</v>
      </c>
      <c r="W26" s="715">
        <f t="shared" ref="W26:W34" si="14">J26</f>
        <v>100</v>
      </c>
      <c r="X26" s="1487"/>
      <c r="Y26" s="3484"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84"/>
      <c r="Q27" s="716" t="str">
        <f t="shared" si="11"/>
        <v>成新率</v>
      </c>
      <c r="R27" s="717" t="s">
        <v>17</v>
      </c>
      <c r="S27" s="718" t="e">
        <f t="shared" si="12"/>
        <v>#N/A</v>
      </c>
      <c r="T27" s="717" t="s">
        <v>17</v>
      </c>
      <c r="U27" s="718" t="e">
        <f t="shared" si="13"/>
        <v>#N/A</v>
      </c>
      <c r="V27" s="717" t="s">
        <v>17</v>
      </c>
      <c r="W27" s="718" t="e">
        <f t="shared" si="14"/>
        <v>#N/A</v>
      </c>
      <c r="X27" s="719"/>
      <c r="Y27" s="3484"/>
      <c r="Z27" s="720"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84"/>
      <c r="Q28" s="1484" t="str">
        <f t="shared" si="11"/>
        <v>物业等级</v>
      </c>
      <c r="R28" s="714" t="s">
        <v>17</v>
      </c>
      <c r="S28" s="715">
        <f t="shared" si="12"/>
        <v>100</v>
      </c>
      <c r="T28" s="714" t="s">
        <v>17</v>
      </c>
      <c r="U28" s="715">
        <f t="shared" si="13"/>
        <v>100</v>
      </c>
      <c r="V28" s="714" t="s">
        <v>17</v>
      </c>
      <c r="W28" s="715">
        <f t="shared" si="14"/>
        <v>100</v>
      </c>
      <c r="X28" s="1487"/>
      <c r="Y28" s="3484"/>
      <c r="Z28" s="1488" t="str">
        <f t="shared" si="15"/>
        <v>物业等级</v>
      </c>
      <c r="AA28" s="1485">
        <f t="shared" si="3"/>
        <v>1</v>
      </c>
      <c r="AB28" s="1485">
        <f t="shared" si="4"/>
        <v>1</v>
      </c>
      <c r="AC28" s="1485">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84"/>
      <c r="Q29" s="1484" t="str">
        <f t="shared" si="11"/>
        <v>有无电梯</v>
      </c>
      <c r="R29" s="714" t="s">
        <v>17</v>
      </c>
      <c r="S29" s="715">
        <f t="shared" si="12"/>
        <v>100</v>
      </c>
      <c r="T29" s="714" t="s">
        <v>17</v>
      </c>
      <c r="U29" s="715">
        <f t="shared" si="13"/>
        <v>100</v>
      </c>
      <c r="V29" s="714" t="s">
        <v>17</v>
      </c>
      <c r="W29" s="715">
        <f t="shared" si="14"/>
        <v>100</v>
      </c>
      <c r="X29" s="1487"/>
      <c r="Y29" s="3484"/>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84"/>
      <c r="Q30" s="1484" t="str">
        <f t="shared" si="11"/>
        <v>建筑面积</v>
      </c>
      <c r="R30" s="714" t="s">
        <v>17</v>
      </c>
      <c r="S30" s="715" t="e">
        <f t="shared" si="12"/>
        <v>#N/A</v>
      </c>
      <c r="T30" s="714" t="s">
        <v>17</v>
      </c>
      <c r="U30" s="715" t="e">
        <f t="shared" si="13"/>
        <v>#N/A</v>
      </c>
      <c r="V30" s="714" t="s">
        <v>17</v>
      </c>
      <c r="W30" s="715" t="e">
        <f t="shared" si="14"/>
        <v>#N/A</v>
      </c>
      <c r="X30" s="1487"/>
      <c r="Y30" s="3484"/>
      <c r="Z30" s="1488" t="str">
        <f t="shared" si="15"/>
        <v>建筑面积</v>
      </c>
      <c r="AA30" s="1485" t="e">
        <f t="shared" si="3"/>
        <v>#N/A</v>
      </c>
      <c r="AB30" s="1485" t="e">
        <f t="shared" si="4"/>
        <v>#N/A</v>
      </c>
      <c r="AC30" s="1485"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84"/>
      <c r="Q31" s="1475" t="str">
        <f t="shared" si="11"/>
        <v>是否封闭</v>
      </c>
      <c r="R31" s="710" t="s">
        <v>17</v>
      </c>
      <c r="S31" s="711">
        <f t="shared" si="12"/>
        <v>100</v>
      </c>
      <c r="T31" s="710" t="s">
        <v>17</v>
      </c>
      <c r="U31" s="711">
        <f t="shared" si="13"/>
        <v>100</v>
      </c>
      <c r="V31" s="710" t="s">
        <v>17</v>
      </c>
      <c r="W31" s="711">
        <f t="shared" si="14"/>
        <v>100</v>
      </c>
      <c r="X31" s="712"/>
      <c r="Y31" s="3484"/>
      <c r="Z31" s="55" t="str">
        <f t="shared" si="15"/>
        <v>是否封闭</v>
      </c>
      <c r="AA31" s="713">
        <f t="shared" si="3"/>
        <v>1</v>
      </c>
      <c r="AB31" s="713">
        <f t="shared" si="4"/>
        <v>1</v>
      </c>
      <c r="AC31" s="713">
        <f t="shared" si="5"/>
        <v>1</v>
      </c>
    </row>
    <row r="32" spans="1:29" ht="15">
      <c r="A32" s="431"/>
      <c r="B32" s="2026">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84" t="s">
        <v>2145</v>
      </c>
      <c r="Q32" s="1484">
        <f t="shared" si="11"/>
        <v>111</v>
      </c>
      <c r="R32" s="714" t="s">
        <v>17</v>
      </c>
      <c r="S32" s="715">
        <f t="shared" si="12"/>
        <v>100</v>
      </c>
      <c r="T32" s="714" t="s">
        <v>17</v>
      </c>
      <c r="U32" s="715">
        <f t="shared" si="13"/>
        <v>100</v>
      </c>
      <c r="V32" s="714" t="s">
        <v>17</v>
      </c>
      <c r="W32" s="715">
        <f t="shared" si="14"/>
        <v>100</v>
      </c>
      <c r="X32" s="1487"/>
      <c r="Y32" s="3484" t="s">
        <v>2145</v>
      </c>
      <c r="Z32" s="1488">
        <f t="shared" si="15"/>
        <v>111</v>
      </c>
      <c r="AA32" s="1485">
        <f t="shared" si="3"/>
        <v>1</v>
      </c>
      <c r="AB32" s="1485">
        <f t="shared" si="4"/>
        <v>1</v>
      </c>
      <c r="AC32" s="1485">
        <f t="shared" si="5"/>
        <v>1</v>
      </c>
    </row>
    <row r="33" spans="1:30" ht="15">
      <c r="A33" s="431"/>
      <c r="B33" s="2026">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84"/>
      <c r="Q33" s="1484">
        <f t="shared" si="11"/>
        <v>111</v>
      </c>
      <c r="R33" s="714" t="s">
        <v>17</v>
      </c>
      <c r="S33" s="715">
        <f t="shared" si="12"/>
        <v>100</v>
      </c>
      <c r="T33" s="714" t="s">
        <v>17</v>
      </c>
      <c r="U33" s="715">
        <f t="shared" si="13"/>
        <v>100</v>
      </c>
      <c r="V33" s="714" t="s">
        <v>17</v>
      </c>
      <c r="W33" s="715">
        <f t="shared" si="14"/>
        <v>100</v>
      </c>
      <c r="X33" s="1487"/>
      <c r="Y33" s="3484"/>
      <c r="Z33" s="1488">
        <f t="shared" si="15"/>
        <v>111</v>
      </c>
      <c r="AA33" s="1485">
        <f t="shared" si="3"/>
        <v>1</v>
      </c>
      <c r="AB33" s="1485">
        <f t="shared" si="4"/>
        <v>1</v>
      </c>
      <c r="AC33" s="1485">
        <f t="shared" si="5"/>
        <v>1</v>
      </c>
    </row>
    <row r="34" spans="1:30" ht="15.75" thickBot="1">
      <c r="A34" s="437"/>
      <c r="B34" s="2028">
        <v>111</v>
      </c>
      <c r="C34" s="396"/>
      <c r="D34" s="397">
        <v>100</v>
      </c>
      <c r="E34" s="2108"/>
      <c r="F34" s="398">
        <f>SUMIF(95:95,E34,96:96)-SUMIF(95:95,C34,96:96)+100</f>
        <v>100</v>
      </c>
      <c r="G34" s="2108"/>
      <c r="H34" s="397">
        <f>SUMIF(95:95,G34,96:96)-SUMIF(95:95,C34,96:96)+100</f>
        <v>100</v>
      </c>
      <c r="I34" s="2108"/>
      <c r="J34" s="397">
        <f>SUMIF(95:95,I34,96:96)-SUMIF(95:95,C34,96:96)+100</f>
        <v>100</v>
      </c>
      <c r="K34" s="570"/>
      <c r="L34" s="2897"/>
      <c r="M34" s="2891"/>
      <c r="N34" s="2891"/>
      <c r="O34" s="2949"/>
      <c r="P34" s="3484"/>
      <c r="Q34" s="1484">
        <f t="shared" si="11"/>
        <v>111</v>
      </c>
      <c r="R34" s="714" t="s">
        <v>17</v>
      </c>
      <c r="S34" s="715">
        <f t="shared" si="12"/>
        <v>100</v>
      </c>
      <c r="T34" s="714" t="s">
        <v>17</v>
      </c>
      <c r="U34" s="715">
        <f t="shared" si="13"/>
        <v>100</v>
      </c>
      <c r="V34" s="714" t="s">
        <v>17</v>
      </c>
      <c r="W34" s="715">
        <f t="shared" si="14"/>
        <v>100</v>
      </c>
      <c r="X34" s="1487"/>
      <c r="Y34" s="3484"/>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3"/>
      <c r="L35" s="2899"/>
      <c r="M35" s="2900"/>
      <c r="N35" s="2891"/>
      <c r="O35" s="2900"/>
      <c r="P35" s="3465" t="str">
        <f>A35</f>
        <v>成交单价（元/平方米）</v>
      </c>
      <c r="Q35" s="3465"/>
      <c r="R35" s="3531">
        <f>E35</f>
        <v>0</v>
      </c>
      <c r="S35" s="3531"/>
      <c r="T35" s="3531">
        <f>G35</f>
        <v>0</v>
      </c>
      <c r="U35" s="3531"/>
      <c r="V35" s="3531">
        <f>I35</f>
        <v>0</v>
      </c>
      <c r="W35" s="3531"/>
      <c r="X35" s="699"/>
      <c r="Y35" s="721"/>
      <c r="Z35" s="699"/>
      <c r="AA35" s="699"/>
      <c r="AB35" s="699"/>
      <c r="AC35" s="699"/>
    </row>
    <row r="36" spans="1:30" ht="15.75" thickBot="1">
      <c r="A36" s="445" t="s">
        <v>2249</v>
      </c>
      <c r="B36" s="446"/>
      <c r="C36" s="1272" t="e">
        <f>R37</f>
        <v>#DIV/0!</v>
      </c>
      <c r="D36" s="2485" t="s">
        <v>2638</v>
      </c>
      <c r="E36" s="1273" t="e">
        <f>R36</f>
        <v>#DIV/0!</v>
      </c>
      <c r="F36" s="2486"/>
      <c r="G36" s="1272" t="e">
        <f>T36</f>
        <v>#DIV/0!</v>
      </c>
      <c r="H36" s="2486"/>
      <c r="I36" s="1273" t="e">
        <f>V36</f>
        <v>#DIV/0!</v>
      </c>
      <c r="J36" s="2486"/>
      <c r="K36" s="2488">
        <f>F36+H36+J36</f>
        <v>0</v>
      </c>
      <c r="L36" s="2899"/>
      <c r="M36" s="2900"/>
      <c r="N36" s="2891"/>
      <c r="O36" s="2900"/>
      <c r="P36" s="3465" t="str">
        <f>A36</f>
        <v>比较价值（元/平方米）</v>
      </c>
      <c r="Q36" s="3465"/>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699"/>
      <c r="Y36" s="699"/>
      <c r="Z36" s="699"/>
      <c r="AA36" s="699"/>
      <c r="AB36" s="699"/>
      <c r="AC36" s="699"/>
    </row>
    <row r="37" spans="1:30" ht="15.75" thickBot="1">
      <c r="A37" s="449" t="s">
        <v>2250</v>
      </c>
      <c r="B37" s="450"/>
      <c r="C37" s="1275" t="e">
        <f>R37</f>
        <v>#DIV/0!</v>
      </c>
      <c r="D37" s="1275"/>
      <c r="E37" s="1275"/>
      <c r="F37" s="1275"/>
      <c r="G37" s="1275"/>
      <c r="H37" s="1275"/>
      <c r="I37" s="1275"/>
      <c r="J37" s="1275"/>
      <c r="K37" s="724"/>
      <c r="L37" s="2899"/>
      <c r="M37" s="2900"/>
      <c r="N37" s="2900"/>
      <c r="O37" s="2900"/>
      <c r="P37" s="3500" t="str">
        <f>A37</f>
        <v>估价对象XX用房的比较价值（楼面单价，元/平方米）</v>
      </c>
      <c r="Q37" s="3501"/>
      <c r="R37" s="3557" t="e">
        <f>IF(F1="售价",ROUND(IF(D36="简单平均",AVERAGE(R36:W36),R36*F36+T36*H36+V36*J36),0),ROUND(IF(D36="简单平均",AVERAGE(R36:V36),R36*F36+T36*H36+V36*J36),1))</f>
        <v>#DIV/0!</v>
      </c>
      <c r="S37" s="3557"/>
      <c r="T37" s="3557"/>
      <c r="U37" s="3557"/>
      <c r="V37" s="3557"/>
      <c r="W37" s="3557"/>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2254</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5">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2320</v>
      </c>
      <c r="C63" s="535" t="s">
        <v>2177</v>
      </c>
      <c r="D63" s="535" t="s">
        <v>2178</v>
      </c>
      <c r="E63" s="535" t="s">
        <v>2179</v>
      </c>
      <c r="F63" s="535" t="s">
        <v>2180</v>
      </c>
      <c r="G63" s="535" t="s">
        <v>2181</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2269</v>
      </c>
      <c r="C65" s="616" t="s">
        <v>2255</v>
      </c>
      <c r="D65" s="616" t="s">
        <v>2256</v>
      </c>
      <c r="E65" s="616" t="s">
        <v>2257</v>
      </c>
      <c r="F65" s="616" t="s">
        <v>2258</v>
      </c>
      <c r="G65" s="616" t="s">
        <v>2259</v>
      </c>
      <c r="H65" s="496"/>
      <c r="I65" s="496"/>
      <c r="J65" s="496"/>
      <c r="K65" s="496"/>
      <c r="L65" s="496"/>
      <c r="M65" s="1241"/>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2189</v>
      </c>
      <c r="C67" s="535" t="s">
        <v>2177</v>
      </c>
      <c r="D67" s="535" t="s">
        <v>2178</v>
      </c>
      <c r="E67" s="535" t="s">
        <v>2179</v>
      </c>
      <c r="F67" s="535" t="s">
        <v>2180</v>
      </c>
      <c r="G67" s="535" t="s">
        <v>2181</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2309</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2143</v>
      </c>
      <c r="B77" s="485" t="s">
        <v>2196</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2313</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2321</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2323</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5"/>
      <c r="B98" s="1045"/>
      <c r="C98" s="1045"/>
      <c r="D98" s="1045"/>
      <c r="E98" s="1045"/>
      <c r="F98" s="1045"/>
      <c r="G98" s="1045"/>
      <c r="H98" s="1045"/>
      <c r="I98" s="1045"/>
      <c r="J98" s="1045"/>
      <c r="K98" s="1046"/>
      <c r="L98" s="1047"/>
      <c r="M98" s="1045"/>
      <c r="N98" s="2900"/>
      <c r="O98" s="2900"/>
      <c r="P98" s="2900"/>
      <c r="Q98" s="2900"/>
      <c r="R98" s="2900"/>
      <c r="S98" s="2900"/>
      <c r="T98" s="2900"/>
      <c r="U98" s="2900"/>
      <c r="V98" s="2900"/>
      <c r="W98" s="2900"/>
      <c r="X98" s="2900"/>
      <c r="Y98" s="2900"/>
      <c r="Z98" s="2900"/>
      <c r="AA98" s="2900"/>
      <c r="AB98" s="2900"/>
      <c r="AC98" s="2900"/>
      <c r="AD98" s="2900"/>
    </row>
    <row r="99" spans="1:30">
      <c r="A99" s="1045"/>
      <c r="B99" s="1045"/>
      <c r="C99" s="1045"/>
      <c r="D99" s="1045"/>
      <c r="E99" s="1045"/>
      <c r="F99" s="1045"/>
      <c r="G99" s="1045"/>
      <c r="H99" s="1045"/>
      <c r="I99" s="1045"/>
      <c r="J99" s="1045"/>
      <c r="K99" s="1046"/>
      <c r="L99" s="1047"/>
      <c r="M99" s="1045"/>
      <c r="N99" s="2900"/>
      <c r="O99" s="2900"/>
      <c r="P99" s="2900"/>
      <c r="Q99" s="2900"/>
      <c r="R99" s="2900"/>
      <c r="S99" s="2900"/>
      <c r="T99" s="2900"/>
      <c r="U99" s="2900"/>
      <c r="V99" s="2900"/>
      <c r="W99" s="2900"/>
      <c r="X99" s="2900"/>
      <c r="Y99" s="2900"/>
      <c r="Z99" s="2900"/>
      <c r="AA99" s="2900"/>
      <c r="AB99" s="2900"/>
      <c r="AC99" s="2900"/>
      <c r="AD99" s="2900"/>
    </row>
    <row r="100" spans="1:30">
      <c r="A100" s="1045"/>
      <c r="B100" s="1045"/>
      <c r="C100" s="1045"/>
      <c r="D100" s="1045"/>
      <c r="E100" s="1045"/>
      <c r="F100" s="1045"/>
      <c r="G100" s="1045"/>
      <c r="H100" s="1045"/>
      <c r="I100" s="1045"/>
      <c r="J100" s="1045"/>
      <c r="K100" s="1046"/>
      <c r="L100" s="1047"/>
      <c r="M100" s="1045"/>
      <c r="N100" s="2900"/>
      <c r="O100" s="2900"/>
      <c r="P100" s="2900"/>
      <c r="Q100" s="2900"/>
      <c r="R100" s="2900"/>
      <c r="S100" s="2900"/>
      <c r="T100" s="2900"/>
      <c r="U100" s="2900"/>
      <c r="V100" s="2900"/>
      <c r="W100" s="2900"/>
      <c r="X100" s="2900"/>
      <c r="Y100" s="2900"/>
      <c r="Z100" s="2900"/>
      <c r="AA100" s="2900"/>
      <c r="AB100" s="2900"/>
      <c r="AC100" s="2900"/>
      <c r="AD100" s="2900"/>
    </row>
    <row r="101" spans="1:30">
      <c r="A101" s="1045"/>
      <c r="B101" s="1045"/>
      <c r="C101" s="1045"/>
      <c r="D101" s="1045"/>
      <c r="E101" s="1045"/>
      <c r="F101" s="1045"/>
      <c r="G101" s="1045"/>
      <c r="H101" s="1045"/>
      <c r="I101" s="1045"/>
      <c r="J101" s="1045"/>
      <c r="K101" s="1046"/>
      <c r="L101" s="1047"/>
      <c r="M101" s="1045"/>
      <c r="N101" s="2900"/>
      <c r="O101" s="2900"/>
      <c r="P101" s="2900"/>
      <c r="Q101" s="2900"/>
      <c r="R101" s="2900"/>
      <c r="S101" s="2900"/>
      <c r="T101" s="2900"/>
      <c r="U101" s="2900"/>
      <c r="V101" s="2900"/>
      <c r="W101" s="2900"/>
      <c r="X101" s="2900"/>
      <c r="Y101" s="2900"/>
      <c r="Z101" s="2900"/>
      <c r="AA101" s="2900"/>
      <c r="AB101" s="2900"/>
      <c r="AC101" s="2900"/>
      <c r="AD101" s="2900"/>
    </row>
    <row r="102" spans="1:30">
      <c r="A102" s="1045"/>
      <c r="B102" s="1045"/>
      <c r="C102" s="1045"/>
      <c r="D102" s="1045"/>
      <c r="E102" s="1045"/>
      <c r="F102" s="1045"/>
      <c r="G102" s="1045"/>
      <c r="H102" s="1045"/>
      <c r="I102" s="1045"/>
      <c r="J102" s="1045"/>
      <c r="K102" s="1046"/>
      <c r="L102" s="1047"/>
      <c r="M102" s="1045"/>
      <c r="N102" s="2900"/>
      <c r="O102" s="2900"/>
      <c r="P102" s="2900"/>
      <c r="Q102" s="2900"/>
      <c r="R102" s="2900"/>
      <c r="S102" s="2900"/>
      <c r="T102" s="2900"/>
      <c r="U102" s="2900"/>
      <c r="V102" s="2900"/>
      <c r="W102" s="2900"/>
      <c r="X102" s="2900"/>
      <c r="Y102" s="2900"/>
      <c r="Z102" s="2900"/>
      <c r="AA102" s="2900"/>
      <c r="AB102" s="2900"/>
      <c r="AC102" s="2900"/>
      <c r="AD102" s="2900"/>
    </row>
    <row r="103" spans="1:30">
      <c r="A103" s="1045"/>
      <c r="B103" s="1045"/>
      <c r="C103" s="1045"/>
      <c r="D103" s="1045"/>
      <c r="E103" s="1045"/>
      <c r="F103" s="1045"/>
      <c r="G103" s="1045"/>
      <c r="H103" s="1045"/>
      <c r="I103" s="1045"/>
      <c r="J103" s="1045"/>
      <c r="K103" s="1046"/>
      <c r="L103" s="1047"/>
      <c r="M103" s="1045"/>
      <c r="N103" s="1045"/>
      <c r="O103" s="1045"/>
      <c r="P103" s="2900"/>
      <c r="Q103" s="2900"/>
      <c r="R103" s="2900"/>
      <c r="S103" s="2900"/>
      <c r="T103" s="2900"/>
      <c r="U103" s="2900"/>
      <c r="V103" s="2900"/>
      <c r="W103" s="2900"/>
      <c r="X103" s="2900"/>
      <c r="Y103" s="2900"/>
      <c r="Z103" s="2900"/>
      <c r="AA103" s="2900"/>
      <c r="AB103" s="2900"/>
      <c r="AC103" s="2900"/>
      <c r="AD103" s="2900"/>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6"/>
      <c r="D2" s="1016"/>
      <c r="E2" s="1017"/>
      <c r="F2" s="1018"/>
      <c r="G2" s="1017"/>
      <c r="H2" s="1017"/>
      <c r="I2" s="1017"/>
      <c r="J2" s="1017"/>
      <c r="K2" s="1019"/>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9"/>
      <c r="M3" s="2910"/>
      <c r="N3" s="2910"/>
      <c r="O3" s="2910"/>
      <c r="P3" s="708"/>
      <c r="Q3" s="708"/>
      <c r="R3" s="708"/>
      <c r="S3" s="708"/>
      <c r="T3" s="708"/>
      <c r="U3" s="708"/>
      <c r="V3" s="708"/>
      <c r="W3" s="708"/>
      <c r="X3" s="708"/>
      <c r="Y3" s="708"/>
      <c r="Z3" s="708"/>
      <c r="AA3" s="708"/>
      <c r="AB3" s="725"/>
      <c r="AC3" s="722"/>
    </row>
    <row r="4" spans="1:30" ht="15">
      <c r="A4" s="361" t="s">
        <v>2225</v>
      </c>
      <c r="B4" s="362"/>
      <c r="C4" s="3462" t="s">
        <v>2226</v>
      </c>
      <c r="D4" s="3488"/>
      <c r="E4" s="3489" t="s">
        <v>2227</v>
      </c>
      <c r="F4" s="3490"/>
      <c r="G4" s="3462" t="s">
        <v>2228</v>
      </c>
      <c r="H4" s="3488"/>
      <c r="I4" s="3462" t="s">
        <v>2229</v>
      </c>
      <c r="J4" s="3488"/>
      <c r="K4" s="567" t="s">
        <v>2230</v>
      </c>
      <c r="L4" s="2890"/>
      <c r="M4" s="2891"/>
      <c r="N4" s="2891"/>
      <c r="O4" s="2891"/>
      <c r="P4" s="3491" t="s">
        <v>2231</v>
      </c>
      <c r="Q4" s="3492"/>
      <c r="R4" s="3468" t="s">
        <v>2227</v>
      </c>
      <c r="S4" s="3469"/>
      <c r="T4" s="3468" t="s">
        <v>2228</v>
      </c>
      <c r="U4" s="3469"/>
      <c r="V4" s="3481" t="s">
        <v>2229</v>
      </c>
      <c r="W4" s="3481"/>
      <c r="X4" s="1487"/>
      <c r="Y4" s="3468" t="s">
        <v>2231</v>
      </c>
      <c r="Z4" s="3469"/>
      <c r="AA4" s="3485" t="s">
        <v>2227</v>
      </c>
      <c r="AB4" s="3486" t="s">
        <v>2228</v>
      </c>
      <c r="AC4" s="3485" t="s">
        <v>2229</v>
      </c>
    </row>
    <row r="5" spans="1:30" ht="15">
      <c r="A5" s="364"/>
      <c r="B5" s="365"/>
      <c r="C5" s="3472" t="s">
        <v>2122</v>
      </c>
      <c r="D5" s="3473"/>
      <c r="E5" s="3497" t="s">
        <v>2123</v>
      </c>
      <c r="F5" s="3498"/>
      <c r="G5" s="3472" t="s">
        <v>2124</v>
      </c>
      <c r="H5" s="3473"/>
      <c r="I5" s="3472" t="s">
        <v>2125</v>
      </c>
      <c r="J5" s="3473"/>
      <c r="K5" s="567"/>
      <c r="L5" s="2890"/>
      <c r="M5" s="2891"/>
      <c r="N5" s="2891"/>
      <c r="O5" s="2891"/>
      <c r="P5" s="3493"/>
      <c r="Q5" s="3494"/>
      <c r="R5" s="3470"/>
      <c r="S5" s="3471"/>
      <c r="T5" s="3470"/>
      <c r="U5" s="3471"/>
      <c r="V5" s="3481"/>
      <c r="W5" s="3481"/>
      <c r="X5" s="1487"/>
      <c r="Y5" s="3470"/>
      <c r="Z5" s="3471"/>
      <c r="AA5" s="3486"/>
      <c r="AB5" s="3486"/>
      <c r="AC5" s="3486"/>
    </row>
    <row r="6" spans="1:30" ht="15.75" thickBot="1">
      <c r="A6" s="366"/>
      <c r="B6" s="367"/>
      <c r="C6" s="3538" t="s">
        <v>2126</v>
      </c>
      <c r="D6" s="3539"/>
      <c r="E6" s="3540" t="s">
        <v>2126</v>
      </c>
      <c r="F6" s="3541"/>
      <c r="G6" s="3538" t="s">
        <v>2126</v>
      </c>
      <c r="H6" s="3539"/>
      <c r="I6" s="3538" t="s">
        <v>2126</v>
      </c>
      <c r="J6" s="3539"/>
      <c r="K6" s="567" t="s">
        <v>2127</v>
      </c>
      <c r="L6" s="2890"/>
      <c r="M6" s="2891"/>
      <c r="N6" s="2891"/>
      <c r="O6" s="2891"/>
      <c r="P6" s="3495"/>
      <c r="Q6" s="3496"/>
      <c r="R6" s="3470"/>
      <c r="S6" s="3471"/>
      <c r="T6" s="3479"/>
      <c r="U6" s="3480"/>
      <c r="V6" s="3481"/>
      <c r="W6" s="3481"/>
      <c r="X6" s="1487"/>
      <c r="Y6" s="3479"/>
      <c r="Z6" s="3480"/>
      <c r="AA6" s="3487"/>
      <c r="AB6" s="3487"/>
      <c r="AC6" s="3487"/>
    </row>
    <row r="7" spans="1:30" s="113" customFormat="1" ht="15.75" thickBot="1">
      <c r="A7" s="368" t="s">
        <v>2128</v>
      </c>
      <c r="B7" s="369"/>
      <c r="C7" s="370">
        <f>'数据-取费表'!B2</f>
        <v>44788</v>
      </c>
      <c r="D7" s="371">
        <v>100</v>
      </c>
      <c r="E7" s="372"/>
      <c r="F7" s="373">
        <f>SUMIF(69:69,YEAR(E7)&amp;"-"&amp;INT((MONTH(E7)+2)/3),70:70)</f>
        <v>0</v>
      </c>
      <c r="G7" s="2107"/>
      <c r="H7" s="371">
        <f>SUMIF(69:69,YEAR(G7)&amp;"-"&amp;INT((MONTH(G7)+2)/3),70:70)</f>
        <v>0</v>
      </c>
      <c r="I7" s="2107"/>
      <c r="J7" s="371">
        <f>SUMIF(69:69,YEAR(I7)&amp;"-"&amp;INT((MONTH(I7)+2)/3),70:70)</f>
        <v>0</v>
      </c>
      <c r="K7" s="568"/>
      <c r="L7" s="2892"/>
      <c r="M7" s="2893"/>
      <c r="N7" s="2893"/>
      <c r="O7" s="2893"/>
      <c r="P7" s="3466" t="s">
        <v>2129</v>
      </c>
      <c r="Q7" s="3476"/>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66" t="s">
        <v>2132</v>
      </c>
      <c r="Q8" s="3467"/>
      <c r="R8" s="710" t="s">
        <v>17</v>
      </c>
      <c r="S8" s="711">
        <f t="shared" si="0"/>
        <v>0</v>
      </c>
      <c r="T8" s="710" t="s">
        <v>17</v>
      </c>
      <c r="U8" s="711">
        <f t="shared" si="1"/>
        <v>0</v>
      </c>
      <c r="V8" s="710" t="s">
        <v>17</v>
      </c>
      <c r="W8" s="711">
        <f t="shared" si="2"/>
        <v>0</v>
      </c>
      <c r="X8" s="712"/>
      <c r="Y8" s="3466" t="s">
        <v>2132</v>
      </c>
      <c r="Z8" s="3467"/>
      <c r="AA8" s="713" t="e">
        <f t="shared" ref="AA8:AA45" si="3">D8/F8</f>
        <v>#DIV/0!</v>
      </c>
      <c r="AB8" s="713" t="e">
        <f t="shared" ref="AB8:AB45" si="4">D8/H8</f>
        <v>#DIV/0!</v>
      </c>
      <c r="AC8" s="713" t="e">
        <f t="shared" ref="AC8:AC45" si="5">D8/J8</f>
        <v>#DIV/0!</v>
      </c>
    </row>
    <row r="9" spans="1:30" s="113" customFormat="1">
      <c r="A9" s="375" t="s">
        <v>2133</v>
      </c>
      <c r="B9" s="67" t="s">
        <v>2134</v>
      </c>
      <c r="C9" s="2110"/>
      <c r="D9" s="131">
        <v>100</v>
      </c>
      <c r="E9" s="2110"/>
      <c r="F9" s="131">
        <f>SUMIF(74:74,E9,75:75)-SUMIF(74:74,C9,75:75)+100</f>
        <v>100</v>
      </c>
      <c r="G9" s="2110"/>
      <c r="H9" s="131">
        <f>SUMIF(74:74,G9,75:75)-SUMIF(74:74,C9,75:75)+100</f>
        <v>100</v>
      </c>
      <c r="I9" s="2110"/>
      <c r="J9" s="131">
        <f>SUMIF(74:74,I9,75:75)-SUMIF(74:74,C9,75:75)+100</f>
        <v>100</v>
      </c>
      <c r="K9" s="568"/>
      <c r="L9" s="2892"/>
      <c r="M9" s="2893"/>
      <c r="N9" s="2893"/>
      <c r="O9" s="2947"/>
      <c r="P9" s="3465" t="s">
        <v>2135</v>
      </c>
      <c r="Q9" s="1475"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4"/>
      <c r="M10" s="2895"/>
      <c r="N10" s="2895"/>
      <c r="O10" s="2948"/>
      <c r="P10" s="3465"/>
      <c r="Q10" s="1475" t="str">
        <f t="shared" si="6"/>
        <v>土地使用年限（年）</v>
      </c>
      <c r="R10" s="710" t="s">
        <v>17</v>
      </c>
      <c r="S10" s="711">
        <f t="shared" si="0"/>
        <v>114</v>
      </c>
      <c r="T10" s="710" t="s">
        <v>17</v>
      </c>
      <c r="U10" s="711">
        <f t="shared" si="1"/>
        <v>114</v>
      </c>
      <c r="V10" s="710" t="s">
        <v>17</v>
      </c>
      <c r="W10" s="711">
        <f t="shared" si="2"/>
        <v>114</v>
      </c>
      <c r="X10" s="712"/>
      <c r="Y10" s="3363"/>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65"/>
      <c r="Q11" s="1475"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26" t="s">
        <v>2327</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65"/>
      <c r="Q12" s="1475"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26">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65"/>
      <c r="Q13" s="1475">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28">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65"/>
      <c r="Q14" s="1475">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99.75">
      <c r="A15" s="399" t="s">
        <v>2139</v>
      </c>
      <c r="B15" s="65" t="s">
        <v>1702</v>
      </c>
      <c r="C15" s="2029"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82" t="s">
        <v>2140</v>
      </c>
      <c r="Q15" s="1484" t="str">
        <f t="shared" si="6"/>
        <v>居住社区成熟度</v>
      </c>
      <c r="R15" s="714" t="s">
        <v>17</v>
      </c>
      <c r="S15" s="715">
        <f t="shared" si="0"/>
        <v>100</v>
      </c>
      <c r="T15" s="714" t="s">
        <v>17</v>
      </c>
      <c r="U15" s="715">
        <f t="shared" si="1"/>
        <v>100</v>
      </c>
      <c r="V15" s="714" t="s">
        <v>17</v>
      </c>
      <c r="W15" s="715">
        <f t="shared" si="2"/>
        <v>100</v>
      </c>
      <c r="X15" s="1487"/>
      <c r="Y15" s="3482" t="s">
        <v>2140</v>
      </c>
      <c r="Z15" s="1488" t="str">
        <f t="shared" si="7"/>
        <v>居住社区成熟度</v>
      </c>
      <c r="AA15" s="1485">
        <f t="shared" si="3"/>
        <v>1</v>
      </c>
      <c r="AB15" s="1485">
        <f t="shared" si="4"/>
        <v>1</v>
      </c>
      <c r="AC15" s="1485">
        <f t="shared" si="5"/>
        <v>1</v>
      </c>
    </row>
    <row r="16" spans="1:30" ht="15">
      <c r="A16" s="387"/>
      <c r="B16" s="405"/>
      <c r="C16" s="406"/>
      <c r="D16" s="407"/>
      <c r="E16" s="2031"/>
      <c r="F16" s="407"/>
      <c r="G16" s="2031"/>
      <c r="H16" s="409"/>
      <c r="I16" s="2030"/>
      <c r="J16" s="407"/>
      <c r="K16" s="628"/>
      <c r="L16" s="2897"/>
      <c r="M16" s="2891"/>
      <c r="N16" s="2891"/>
      <c r="O16" s="2949"/>
      <c r="P16" s="3483"/>
      <c r="Q16" s="1484"/>
      <c r="R16" s="714"/>
      <c r="S16" s="715"/>
      <c r="T16" s="714"/>
      <c r="U16" s="715"/>
      <c r="V16" s="714"/>
      <c r="W16" s="715"/>
      <c r="X16" s="1487"/>
      <c r="Y16" s="3483"/>
      <c r="Z16" s="1488"/>
      <c r="AA16" s="1485">
        <v>1</v>
      </c>
      <c r="AB16" s="1485">
        <v>1</v>
      </c>
      <c r="AC16" s="1485">
        <v>1</v>
      </c>
    </row>
    <row r="17" spans="1:29" ht="71.25">
      <c r="A17" s="387"/>
      <c r="B17" s="410" t="s">
        <v>2233</v>
      </c>
      <c r="C17" s="2088"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83"/>
      <c r="Q17" s="1484" t="str">
        <f>B17</f>
        <v>商业繁华度</v>
      </c>
      <c r="R17" s="714" t="s">
        <v>17</v>
      </c>
      <c r="S17" s="715">
        <f>F17</f>
        <v>100</v>
      </c>
      <c r="T17" s="714" t="s">
        <v>17</v>
      </c>
      <c r="U17" s="715">
        <f>H17</f>
        <v>100</v>
      </c>
      <c r="V17" s="714" t="s">
        <v>17</v>
      </c>
      <c r="W17" s="715">
        <f>J17</f>
        <v>100</v>
      </c>
      <c r="X17" s="1487"/>
      <c r="Y17" s="3483"/>
      <c r="Z17" s="1488" t="str">
        <f>Q17</f>
        <v>商业繁华度</v>
      </c>
      <c r="AA17" s="1485">
        <f t="shared" si="3"/>
        <v>1</v>
      </c>
      <c r="AB17" s="1485">
        <f t="shared" si="4"/>
        <v>1</v>
      </c>
      <c r="AC17" s="1485">
        <f t="shared" si="5"/>
        <v>1</v>
      </c>
    </row>
    <row r="18" spans="1:29" ht="15">
      <c r="A18" s="387"/>
      <c r="B18" s="415"/>
      <c r="C18" s="2034"/>
      <c r="D18" s="409"/>
      <c r="E18" s="2036"/>
      <c r="F18" s="409"/>
      <c r="G18" s="2036"/>
      <c r="H18" s="407"/>
      <c r="I18" s="2035"/>
      <c r="J18" s="407"/>
      <c r="K18" s="628"/>
      <c r="L18" s="2897"/>
      <c r="M18" s="2891"/>
      <c r="N18" s="2891"/>
      <c r="O18" s="2949"/>
      <c r="P18" s="3483"/>
      <c r="Q18" s="1484"/>
      <c r="R18" s="714"/>
      <c r="S18" s="715"/>
      <c r="T18" s="714"/>
      <c r="U18" s="715"/>
      <c r="V18" s="714"/>
      <c r="W18" s="715"/>
      <c r="X18" s="1487"/>
      <c r="Y18" s="3483"/>
      <c r="Z18" s="1488"/>
      <c r="AA18" s="1485">
        <v>1</v>
      </c>
      <c r="AB18" s="1485">
        <v>1</v>
      </c>
      <c r="AC18" s="1485">
        <v>1</v>
      </c>
    </row>
    <row r="19" spans="1:29" ht="71.25">
      <c r="A19" s="387"/>
      <c r="B19" s="410" t="s">
        <v>2267</v>
      </c>
      <c r="C19" s="2088"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83"/>
      <c r="Q19" s="1484" t="str">
        <f>B19</f>
        <v>办公集聚程度</v>
      </c>
      <c r="R19" s="714" t="s">
        <v>17</v>
      </c>
      <c r="S19" s="715">
        <f>F19</f>
        <v>100</v>
      </c>
      <c r="T19" s="714" t="s">
        <v>17</v>
      </c>
      <c r="U19" s="715">
        <f>H19</f>
        <v>100</v>
      </c>
      <c r="V19" s="714" t="s">
        <v>17</v>
      </c>
      <c r="W19" s="715">
        <f>J19</f>
        <v>100</v>
      </c>
      <c r="X19" s="1487"/>
      <c r="Y19" s="3483"/>
      <c r="Z19" s="1488" t="str">
        <f>Q19</f>
        <v>办公集聚程度</v>
      </c>
      <c r="AA19" s="1485">
        <f t="shared" si="3"/>
        <v>1</v>
      </c>
      <c r="AB19" s="1485">
        <f t="shared" si="4"/>
        <v>1</v>
      </c>
      <c r="AC19" s="1485">
        <f t="shared" si="5"/>
        <v>1</v>
      </c>
    </row>
    <row r="20" spans="1:29" ht="15">
      <c r="A20" s="387"/>
      <c r="B20" s="415"/>
      <c r="C20" s="406"/>
      <c r="D20" s="407"/>
      <c r="E20" s="2031"/>
      <c r="F20" s="407"/>
      <c r="G20" s="2031"/>
      <c r="H20" s="407"/>
      <c r="I20" s="2030"/>
      <c r="J20" s="407"/>
      <c r="K20" s="628"/>
      <c r="L20" s="2897"/>
      <c r="M20" s="2891"/>
      <c r="N20" s="2891"/>
      <c r="O20" s="2949"/>
      <c r="P20" s="3483"/>
      <c r="Q20" s="1484"/>
      <c r="R20" s="714"/>
      <c r="S20" s="715"/>
      <c r="T20" s="714"/>
      <c r="U20" s="715"/>
      <c r="V20" s="714"/>
      <c r="W20" s="715"/>
      <c r="X20" s="1487"/>
      <c r="Y20" s="3483"/>
      <c r="Z20" s="1488"/>
      <c r="AA20" s="1485">
        <v>1</v>
      </c>
      <c r="AB20" s="1485">
        <v>1</v>
      </c>
      <c r="AC20" s="1485">
        <v>1</v>
      </c>
    </row>
    <row r="21" spans="1:29" ht="85.5">
      <c r="A21" s="387"/>
      <c r="B21" s="410" t="s">
        <v>2289</v>
      </c>
      <c r="C21" s="2033"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83"/>
      <c r="Q21" s="1484" t="str">
        <f>B21</f>
        <v>交通便捷度</v>
      </c>
      <c r="R21" s="714" t="s">
        <v>17</v>
      </c>
      <c r="S21" s="715">
        <f>F21</f>
        <v>100</v>
      </c>
      <c r="T21" s="714" t="s">
        <v>17</v>
      </c>
      <c r="U21" s="715">
        <f>H21</f>
        <v>100</v>
      </c>
      <c r="V21" s="714" t="s">
        <v>17</v>
      </c>
      <c r="W21" s="715">
        <f>J21</f>
        <v>100</v>
      </c>
      <c r="X21" s="1487"/>
      <c r="Y21" s="3483"/>
      <c r="Z21" s="1488" t="str">
        <f>Q21</f>
        <v>交通便捷度</v>
      </c>
      <c r="AA21" s="1485">
        <f t="shared" si="3"/>
        <v>1</v>
      </c>
      <c r="AB21" s="1485">
        <f t="shared" si="4"/>
        <v>1</v>
      </c>
      <c r="AC21" s="1485">
        <f t="shared" si="5"/>
        <v>1</v>
      </c>
    </row>
    <row r="22" spans="1:29" ht="15">
      <c r="A22" s="387"/>
      <c r="B22" s="1243"/>
      <c r="C22" s="406"/>
      <c r="D22" s="409"/>
      <c r="E22" s="2031"/>
      <c r="F22" s="407"/>
      <c r="G22" s="2031"/>
      <c r="H22" s="407"/>
      <c r="I22" s="2030"/>
      <c r="J22" s="407"/>
      <c r="K22" s="628"/>
      <c r="L22" s="2897"/>
      <c r="M22" s="2891"/>
      <c r="N22" s="2891"/>
      <c r="O22" s="2949"/>
      <c r="P22" s="3483"/>
      <c r="Q22" s="1484"/>
      <c r="R22" s="714"/>
      <c r="S22" s="715"/>
      <c r="T22" s="714"/>
      <c r="U22" s="715"/>
      <c r="V22" s="714"/>
      <c r="W22" s="715"/>
      <c r="X22" s="1487"/>
      <c r="Y22" s="3483"/>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83"/>
      <c r="Q23" s="1484" t="str">
        <f t="shared" ref="Q23:Q37" si="8">B23</f>
        <v>区域土地利用方向</v>
      </c>
      <c r="R23" s="714" t="s">
        <v>17</v>
      </c>
      <c r="S23" s="715">
        <f>F23</f>
        <v>100</v>
      </c>
      <c r="T23" s="714" t="s">
        <v>17</v>
      </c>
      <c r="U23" s="715">
        <f>H23</f>
        <v>100</v>
      </c>
      <c r="V23" s="714" t="s">
        <v>17</v>
      </c>
      <c r="W23" s="715">
        <f>J23</f>
        <v>100</v>
      </c>
      <c r="X23" s="1487"/>
      <c r="Y23" s="3483"/>
      <c r="Z23" s="1488" t="str">
        <f>Q23</f>
        <v>区域土地利用方向</v>
      </c>
      <c r="AA23" s="1485">
        <f t="shared" si="3"/>
        <v>1</v>
      </c>
      <c r="AB23" s="1485">
        <f t="shared" si="4"/>
        <v>1</v>
      </c>
      <c r="AC23" s="1485">
        <f t="shared" si="5"/>
        <v>1</v>
      </c>
    </row>
    <row r="24" spans="1:29" ht="15">
      <c r="A24" s="364"/>
      <c r="B24" s="415"/>
      <c r="C24" s="573"/>
      <c r="D24" s="407"/>
      <c r="E24" s="2031"/>
      <c r="F24" s="407"/>
      <c r="G24" s="2030"/>
      <c r="H24" s="407"/>
      <c r="I24" s="2030"/>
      <c r="J24" s="407"/>
      <c r="K24" s="748"/>
      <c r="L24" s="2897"/>
      <c r="M24" s="2891"/>
      <c r="N24" s="2891"/>
      <c r="O24" s="2949"/>
      <c r="P24" s="3483"/>
      <c r="Q24" s="1484"/>
      <c r="R24" s="714"/>
      <c r="S24" s="715"/>
      <c r="T24" s="714"/>
      <c r="U24" s="715"/>
      <c r="V24" s="714"/>
      <c r="W24" s="715"/>
      <c r="X24" s="1487"/>
      <c r="Y24" s="3483"/>
      <c r="Z24" s="1488"/>
      <c r="AA24" s="1485"/>
      <c r="AB24" s="1485"/>
      <c r="AC24" s="1485"/>
    </row>
    <row r="25" spans="1:29" ht="57">
      <c r="A25" s="364"/>
      <c r="B25" s="1243" t="s">
        <v>2329</v>
      </c>
      <c r="C25" s="2088"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83"/>
      <c r="Q25" s="1484" t="str">
        <f t="shared" si="8"/>
        <v>自然及人文环境状况</v>
      </c>
      <c r="R25" s="714" t="s">
        <v>17</v>
      </c>
      <c r="S25" s="715">
        <f>F25</f>
        <v>100</v>
      </c>
      <c r="T25" s="714" t="s">
        <v>17</v>
      </c>
      <c r="U25" s="715">
        <f>H25</f>
        <v>100</v>
      </c>
      <c r="V25" s="714" t="s">
        <v>17</v>
      </c>
      <c r="W25" s="715">
        <f>J25</f>
        <v>100</v>
      </c>
      <c r="X25" s="1487"/>
      <c r="Y25" s="3483"/>
      <c r="Z25" s="1488" t="str">
        <f>Q25</f>
        <v>自然及人文环境状况</v>
      </c>
      <c r="AA25" s="1485">
        <f t="shared" si="3"/>
        <v>1</v>
      </c>
      <c r="AB25" s="1485">
        <f t="shared" si="4"/>
        <v>1</v>
      </c>
      <c r="AC25" s="1485">
        <f t="shared" si="5"/>
        <v>1</v>
      </c>
    </row>
    <row r="26" spans="1:29" ht="15">
      <c r="A26" s="364"/>
      <c r="B26" s="415"/>
      <c r="C26" s="406"/>
      <c r="D26" s="407"/>
      <c r="E26" s="2037"/>
      <c r="F26" s="407"/>
      <c r="G26" s="2037"/>
      <c r="H26" s="407"/>
      <c r="I26" s="406"/>
      <c r="J26" s="407"/>
      <c r="K26" s="628"/>
      <c r="L26" s="2897"/>
      <c r="M26" s="2891"/>
      <c r="N26" s="2891"/>
      <c r="O26" s="2949"/>
      <c r="P26" s="3483"/>
      <c r="Q26" s="1484"/>
      <c r="R26" s="714"/>
      <c r="S26" s="715"/>
      <c r="T26" s="714"/>
      <c r="U26" s="715"/>
      <c r="V26" s="714"/>
      <c r="W26" s="715"/>
      <c r="X26" s="1487"/>
      <c r="Y26" s="3483"/>
      <c r="Z26" s="1488"/>
      <c r="AA26" s="1485">
        <v>1</v>
      </c>
      <c r="AB26" s="1485">
        <v>1</v>
      </c>
      <c r="AC26" s="1485">
        <v>1</v>
      </c>
    </row>
    <row r="27" spans="1:29" s="113" customFormat="1" ht="42.75">
      <c r="A27" s="605"/>
      <c r="B27" s="1243" t="s">
        <v>2234</v>
      </c>
      <c r="C27" s="2033"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83"/>
      <c r="Q27" s="1475" t="str">
        <f t="shared" si="8"/>
        <v>公共配套设施</v>
      </c>
      <c r="R27" s="710" t="s">
        <v>17</v>
      </c>
      <c r="S27" s="711">
        <f>F27</f>
        <v>100</v>
      </c>
      <c r="T27" s="710" t="s">
        <v>17</v>
      </c>
      <c r="U27" s="711">
        <f>H27</f>
        <v>100</v>
      </c>
      <c r="V27" s="710" t="s">
        <v>17</v>
      </c>
      <c r="W27" s="711">
        <f>J27</f>
        <v>100</v>
      </c>
      <c r="X27" s="712"/>
      <c r="Y27" s="3483"/>
      <c r="Z27" s="55" t="str">
        <f>Q27</f>
        <v>公共配套设施</v>
      </c>
      <c r="AA27" s="1485">
        <f>D27/F27</f>
        <v>1</v>
      </c>
      <c r="AB27" s="1485">
        <f>D27/H27</f>
        <v>1</v>
      </c>
      <c r="AC27" s="1485">
        <f>D27/J27</f>
        <v>1</v>
      </c>
    </row>
    <row r="28" spans="1:29" s="113" customFormat="1" ht="15">
      <c r="A28" s="605"/>
      <c r="B28" s="415"/>
      <c r="C28" s="2111"/>
      <c r="D28" s="407"/>
      <c r="E28" s="2037"/>
      <c r="F28" s="407"/>
      <c r="G28" s="2037"/>
      <c r="H28" s="407"/>
      <c r="I28" s="406"/>
      <c r="J28" s="407"/>
      <c r="K28" s="628"/>
      <c r="L28" s="2892"/>
      <c r="M28" s="2893"/>
      <c r="N28" s="2893"/>
      <c r="O28" s="2947"/>
      <c r="P28" s="3483"/>
      <c r="Q28" s="1475"/>
      <c r="R28" s="710"/>
      <c r="S28" s="711"/>
      <c r="T28" s="710"/>
      <c r="U28" s="711"/>
      <c r="V28" s="710"/>
      <c r="W28" s="711"/>
      <c r="X28" s="712"/>
      <c r="Y28" s="3483"/>
      <c r="Z28" s="55"/>
      <c r="AA28" s="1485">
        <v>1</v>
      </c>
      <c r="AB28" s="1485">
        <v>1</v>
      </c>
      <c r="AC28" s="1485">
        <v>1</v>
      </c>
    </row>
    <row r="29" spans="1:29" s="113" customFormat="1" ht="28.5">
      <c r="A29" s="605"/>
      <c r="B29" s="1243" t="s">
        <v>2235</v>
      </c>
      <c r="C29" s="2033"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83"/>
      <c r="Q29" s="1475" t="str">
        <f t="shared" ref="Q29" si="9">B29</f>
        <v>基础设施水平</v>
      </c>
      <c r="R29" s="710" t="s">
        <v>17</v>
      </c>
      <c r="S29" s="711">
        <f>F29</f>
        <v>100</v>
      </c>
      <c r="T29" s="710" t="s">
        <v>17</v>
      </c>
      <c r="U29" s="711">
        <f>H29</f>
        <v>100</v>
      </c>
      <c r="V29" s="710" t="s">
        <v>17</v>
      </c>
      <c r="W29" s="711">
        <f>J29</f>
        <v>100</v>
      </c>
      <c r="X29" s="712"/>
      <c r="Y29" s="3483"/>
      <c r="Z29" s="55" t="str">
        <f>Q29</f>
        <v>基础设施水平</v>
      </c>
      <c r="AA29" s="1485">
        <f>D29/F29</f>
        <v>1</v>
      </c>
      <c r="AB29" s="1485">
        <f>D29/H29</f>
        <v>1</v>
      </c>
      <c r="AC29" s="1485">
        <f>D29/J29</f>
        <v>1</v>
      </c>
    </row>
    <row r="30" spans="1:29" s="113" customFormat="1" ht="15">
      <c r="A30" s="605"/>
      <c r="B30" s="415"/>
      <c r="C30" s="2111"/>
      <c r="D30" s="407"/>
      <c r="E30" s="2112"/>
      <c r="F30" s="407"/>
      <c r="G30" s="2112"/>
      <c r="H30" s="407"/>
      <c r="I30" s="2112"/>
      <c r="J30" s="407"/>
      <c r="K30" s="628"/>
      <c r="L30" s="2892"/>
      <c r="M30" s="2893"/>
      <c r="N30" s="2893"/>
      <c r="O30" s="2947"/>
      <c r="P30" s="3483"/>
      <c r="Q30" s="1475"/>
      <c r="R30" s="710"/>
      <c r="S30" s="711"/>
      <c r="T30" s="710"/>
      <c r="U30" s="711"/>
      <c r="V30" s="710"/>
      <c r="W30" s="711"/>
      <c r="X30" s="712"/>
      <c r="Y30" s="3483"/>
      <c r="Z30" s="55"/>
      <c r="AA30" s="1485">
        <v>1</v>
      </c>
      <c r="AB30" s="1485">
        <v>1</v>
      </c>
      <c r="AC30" s="1485">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83"/>
      <c r="Q31" s="1484" t="str">
        <f t="shared" si="8"/>
        <v>临街状况</v>
      </c>
      <c r="R31" s="714" t="s">
        <v>17</v>
      </c>
      <c r="S31" s="715">
        <f t="shared" ref="S31:S45" si="10">F31</f>
        <v>100</v>
      </c>
      <c r="T31" s="714" t="s">
        <v>17</v>
      </c>
      <c r="U31" s="715">
        <f t="shared" ref="U31:U45" si="11">H31</f>
        <v>100</v>
      </c>
      <c r="V31" s="714" t="s">
        <v>17</v>
      </c>
      <c r="W31" s="715">
        <f t="shared" ref="W31:W45" si="12">J31</f>
        <v>100</v>
      </c>
      <c r="X31" s="1487"/>
      <c r="Y31" s="3483"/>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83"/>
      <c r="Q32" s="1484" t="str">
        <f t="shared" si="8"/>
        <v>毗邻道路的类型与等级</v>
      </c>
      <c r="R32" s="714" t="s">
        <v>17</v>
      </c>
      <c r="S32" s="715">
        <f t="shared" si="10"/>
        <v>100</v>
      </c>
      <c r="T32" s="714" t="s">
        <v>17</v>
      </c>
      <c r="U32" s="715">
        <f t="shared" si="11"/>
        <v>100</v>
      </c>
      <c r="V32" s="714" t="s">
        <v>17</v>
      </c>
      <c r="W32" s="715">
        <f t="shared" si="12"/>
        <v>100</v>
      </c>
      <c r="X32" s="1487"/>
      <c r="Y32" s="3483"/>
      <c r="Z32" s="1488" t="str">
        <f t="shared" si="13"/>
        <v>毗邻道路的类型与等级</v>
      </c>
      <c r="AA32" s="1485">
        <f t="shared" si="3"/>
        <v>1</v>
      </c>
      <c r="AB32" s="1485">
        <f t="shared" si="4"/>
        <v>1</v>
      </c>
      <c r="AC32" s="1485">
        <f t="shared" si="5"/>
        <v>1</v>
      </c>
    </row>
    <row r="33" spans="1:29" ht="15">
      <c r="A33" s="387"/>
      <c r="B33" s="415"/>
      <c r="C33" s="406"/>
      <c r="D33" s="407"/>
      <c r="E33" s="2037"/>
      <c r="F33" s="407"/>
      <c r="G33" s="2037"/>
      <c r="H33" s="407"/>
      <c r="I33" s="406"/>
      <c r="J33" s="407"/>
      <c r="K33" s="570"/>
      <c r="L33" s="2897"/>
      <c r="M33" s="2891"/>
      <c r="N33" s="2891"/>
      <c r="O33" s="2949"/>
      <c r="P33" s="3483"/>
      <c r="Q33" s="1484"/>
      <c r="R33" s="714"/>
      <c r="S33" s="715"/>
      <c r="T33" s="714"/>
      <c r="U33" s="715"/>
      <c r="V33" s="714"/>
      <c r="W33" s="715"/>
      <c r="X33" s="1487"/>
      <c r="Y33" s="3483"/>
      <c r="Z33" s="1488"/>
      <c r="AA33" s="1485">
        <v>1</v>
      </c>
      <c r="AB33" s="1485">
        <v>1</v>
      </c>
      <c r="AC33" s="1485">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83"/>
      <c r="Q34" s="1484" t="str">
        <f t="shared" si="8"/>
        <v>土地级别</v>
      </c>
      <c r="R34" s="714" t="s">
        <v>17</v>
      </c>
      <c r="S34" s="715">
        <f t="shared" si="10"/>
        <v>100</v>
      </c>
      <c r="T34" s="714" t="s">
        <v>17</v>
      </c>
      <c r="U34" s="715">
        <f t="shared" si="11"/>
        <v>100</v>
      </c>
      <c r="V34" s="714" t="s">
        <v>17</v>
      </c>
      <c r="W34" s="715">
        <f t="shared" si="12"/>
        <v>100</v>
      </c>
      <c r="X34" s="1487"/>
      <c r="Y34" s="3483"/>
      <c r="Z34" s="1488" t="str">
        <f t="shared" si="13"/>
        <v>土地级别</v>
      </c>
      <c r="AA34" s="1485">
        <f t="shared" si="3"/>
        <v>1</v>
      </c>
      <c r="AB34" s="1485">
        <f t="shared" si="4"/>
        <v>1</v>
      </c>
      <c r="AC34" s="1485">
        <f t="shared" si="5"/>
        <v>1</v>
      </c>
    </row>
    <row r="35" spans="1:29" ht="15">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83"/>
      <c r="Q35" s="1484">
        <f t="shared" si="8"/>
        <v>111</v>
      </c>
      <c r="R35" s="714" t="s">
        <v>17</v>
      </c>
      <c r="S35" s="715">
        <f t="shared" si="10"/>
        <v>100</v>
      </c>
      <c r="T35" s="714" t="s">
        <v>17</v>
      </c>
      <c r="U35" s="715">
        <f t="shared" si="11"/>
        <v>100</v>
      </c>
      <c r="V35" s="714" t="s">
        <v>17</v>
      </c>
      <c r="W35" s="715">
        <f t="shared" si="12"/>
        <v>100</v>
      </c>
      <c r="X35" s="1487"/>
      <c r="Y35" s="3483"/>
      <c r="Z35" s="1488">
        <f t="shared" si="13"/>
        <v>111</v>
      </c>
      <c r="AA35" s="1485">
        <f t="shared" si="3"/>
        <v>1</v>
      </c>
      <c r="AB35" s="1485">
        <f t="shared" si="4"/>
        <v>1</v>
      </c>
      <c r="AC35" s="1485">
        <f t="shared" si="5"/>
        <v>1</v>
      </c>
    </row>
    <row r="36" spans="1:29" ht="15">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499" t="s">
        <v>2145</v>
      </c>
      <c r="Q36" s="1484">
        <f t="shared" si="8"/>
        <v>111</v>
      </c>
      <c r="R36" s="714" t="s">
        <v>17</v>
      </c>
      <c r="S36" s="715">
        <f t="shared" si="10"/>
        <v>100</v>
      </c>
      <c r="T36" s="714" t="s">
        <v>17</v>
      </c>
      <c r="U36" s="715">
        <f t="shared" si="11"/>
        <v>100</v>
      </c>
      <c r="V36" s="714" t="s">
        <v>17</v>
      </c>
      <c r="W36" s="715">
        <f t="shared" si="12"/>
        <v>100</v>
      </c>
      <c r="X36" s="1487"/>
      <c r="Y36" s="3484" t="s">
        <v>2145</v>
      </c>
      <c r="Z36" s="1488">
        <f t="shared" si="13"/>
        <v>111</v>
      </c>
      <c r="AA36" s="1485">
        <f t="shared" si="3"/>
        <v>1</v>
      </c>
      <c r="AB36" s="1485">
        <f t="shared" si="4"/>
        <v>1</v>
      </c>
      <c r="AC36" s="1485">
        <f t="shared" si="5"/>
        <v>1</v>
      </c>
    </row>
    <row r="37" spans="1:29" s="430" customFormat="1" ht="15.75"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84"/>
      <c r="Q37" s="1484">
        <f t="shared" si="8"/>
        <v>111</v>
      </c>
      <c r="R37" s="717" t="s">
        <v>17</v>
      </c>
      <c r="S37" s="718">
        <f t="shared" si="10"/>
        <v>100</v>
      </c>
      <c r="T37" s="717" t="s">
        <v>17</v>
      </c>
      <c r="U37" s="718">
        <f t="shared" si="11"/>
        <v>100</v>
      </c>
      <c r="V37" s="717" t="s">
        <v>17</v>
      </c>
      <c r="W37" s="718">
        <f t="shared" si="12"/>
        <v>100</v>
      </c>
      <c r="X37" s="719"/>
      <c r="Y37" s="3484"/>
      <c r="Z37" s="720">
        <f t="shared" si="13"/>
        <v>111</v>
      </c>
      <c r="AA37" s="1485">
        <f t="shared" si="3"/>
        <v>1</v>
      </c>
      <c r="AB37" s="1485">
        <f t="shared" si="4"/>
        <v>1</v>
      </c>
      <c r="AC37" s="1485">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84"/>
      <c r="Q38" s="1484" t="str">
        <f>B38</f>
        <v>宗地面积</v>
      </c>
      <c r="R38" s="714" t="s">
        <v>17</v>
      </c>
      <c r="S38" s="715" t="e">
        <f t="shared" si="10"/>
        <v>#N/A</v>
      </c>
      <c r="T38" s="714" t="s">
        <v>17</v>
      </c>
      <c r="U38" s="715" t="e">
        <f t="shared" si="11"/>
        <v>#N/A</v>
      </c>
      <c r="V38" s="714" t="s">
        <v>17</v>
      </c>
      <c r="W38" s="715" t="e">
        <f t="shared" si="12"/>
        <v>#N/A</v>
      </c>
      <c r="X38" s="1487"/>
      <c r="Y38" s="3484"/>
      <c r="Z38" s="1488" t="str">
        <f t="shared" si="13"/>
        <v>宗地面积</v>
      </c>
      <c r="AA38" s="1485" t="e">
        <f t="shared" si="3"/>
        <v>#N/A</v>
      </c>
      <c r="AB38" s="1485" t="e">
        <f t="shared" si="4"/>
        <v>#N/A</v>
      </c>
      <c r="AC38" s="1485" t="e">
        <f t="shared" si="5"/>
        <v>#N/A</v>
      </c>
    </row>
    <row r="39" spans="1:29" ht="15">
      <c r="A39" s="431"/>
      <c r="B39" s="381" t="s">
        <v>2332</v>
      </c>
      <c r="C39" s="2039"/>
      <c r="D39" s="394">
        <v>100</v>
      </c>
      <c r="E39" s="2039"/>
      <c r="F39" s="394">
        <f>SUMIF(118:118,E39,119:119)-SUMIF(118:118,C39,119:119)+100</f>
        <v>100</v>
      </c>
      <c r="G39" s="2039"/>
      <c r="H39" s="394">
        <f>SUMIF(118:118,G39,119:119)-SUMIF(118:118,C39,119:119)+100</f>
        <v>100</v>
      </c>
      <c r="I39" s="2039"/>
      <c r="J39" s="394">
        <f>SUMIF(118:118,I39,119:119)-SUMIF(118:118,C39,119:119)+100</f>
        <v>100</v>
      </c>
      <c r="K39" s="569"/>
      <c r="L39" s="2897"/>
      <c r="M39" s="2891"/>
      <c r="N39" s="2891"/>
      <c r="O39" s="2949"/>
      <c r="P39" s="3484"/>
      <c r="Q39" s="1484" t="str">
        <f t="shared" ref="Q39:Q45" si="14">B39</f>
        <v>宗地形状</v>
      </c>
      <c r="R39" s="714" t="s">
        <v>17</v>
      </c>
      <c r="S39" s="715">
        <f t="shared" si="10"/>
        <v>100</v>
      </c>
      <c r="T39" s="714" t="s">
        <v>17</v>
      </c>
      <c r="U39" s="715">
        <f t="shared" si="11"/>
        <v>100</v>
      </c>
      <c r="V39" s="714" t="s">
        <v>17</v>
      </c>
      <c r="W39" s="715">
        <f t="shared" si="12"/>
        <v>100</v>
      </c>
      <c r="X39" s="1487"/>
      <c r="Y39" s="3484"/>
      <c r="Z39" s="1488" t="str">
        <f t="shared" si="13"/>
        <v>宗地形状</v>
      </c>
      <c r="AA39" s="1485">
        <f t="shared" si="3"/>
        <v>1</v>
      </c>
      <c r="AB39" s="1485">
        <f t="shared" si="4"/>
        <v>1</v>
      </c>
      <c r="AC39" s="1485">
        <f t="shared" si="5"/>
        <v>1</v>
      </c>
    </row>
    <row r="40" spans="1:29" ht="15">
      <c r="A40" s="431"/>
      <c r="B40" s="381" t="s">
        <v>2333</v>
      </c>
      <c r="C40" s="2039"/>
      <c r="D40" s="394">
        <v>100</v>
      </c>
      <c r="E40" s="2039"/>
      <c r="F40" s="394">
        <f>SUMIF(120:120,E40,121:121)-SUMIF(120:120,C40,121:121)+100</f>
        <v>100</v>
      </c>
      <c r="G40" s="2039"/>
      <c r="H40" s="394">
        <f>SUMIF(120:120,G40,121:121)-SUMIF(120:120,C40,121:121)+100</f>
        <v>100</v>
      </c>
      <c r="I40" s="2039"/>
      <c r="J40" s="394">
        <f>SUMIF(120:120,I40,121:121)-SUMIF(120:120,C40,121:121)+100</f>
        <v>100</v>
      </c>
      <c r="K40" s="569"/>
      <c r="L40" s="2897"/>
      <c r="M40" s="2891"/>
      <c r="N40" s="2891"/>
      <c r="O40" s="2949"/>
      <c r="P40" s="3484"/>
      <c r="Q40" s="1484" t="str">
        <f t="shared" si="14"/>
        <v>临街宽度及深度</v>
      </c>
      <c r="R40" s="714" t="s">
        <v>17</v>
      </c>
      <c r="S40" s="715">
        <f t="shared" si="10"/>
        <v>100</v>
      </c>
      <c r="T40" s="714" t="s">
        <v>17</v>
      </c>
      <c r="U40" s="715">
        <f t="shared" si="11"/>
        <v>100</v>
      </c>
      <c r="V40" s="714" t="s">
        <v>17</v>
      </c>
      <c r="W40" s="715">
        <f t="shared" si="12"/>
        <v>100</v>
      </c>
      <c r="X40" s="1487"/>
      <c r="Y40" s="3484"/>
      <c r="Z40" s="1488" t="str">
        <f t="shared" si="13"/>
        <v>临街宽度及深度</v>
      </c>
      <c r="AA40" s="1485">
        <f t="shared" si="3"/>
        <v>1</v>
      </c>
      <c r="AB40" s="1485">
        <f t="shared" si="4"/>
        <v>1</v>
      </c>
      <c r="AC40" s="1485">
        <f t="shared" si="5"/>
        <v>1</v>
      </c>
    </row>
    <row r="41" spans="1:29" s="113" customFormat="1" ht="15">
      <c r="A41" s="432"/>
      <c r="B41" s="381" t="s">
        <v>2334</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2"/>
      <c r="M41" s="2893"/>
      <c r="N41" s="2893"/>
      <c r="O41" s="2947"/>
      <c r="P41" s="3484"/>
      <c r="Q41" s="1484" t="str">
        <f t="shared" si="14"/>
        <v>宗地开发程度</v>
      </c>
      <c r="R41" s="710" t="s">
        <v>17</v>
      </c>
      <c r="S41" s="711">
        <f t="shared" si="10"/>
        <v>100</v>
      </c>
      <c r="T41" s="710" t="s">
        <v>17</v>
      </c>
      <c r="U41" s="711">
        <f t="shared" si="11"/>
        <v>100</v>
      </c>
      <c r="V41" s="710" t="s">
        <v>17</v>
      </c>
      <c r="W41" s="711">
        <f t="shared" si="12"/>
        <v>100</v>
      </c>
      <c r="X41" s="712"/>
      <c r="Y41" s="3484"/>
      <c r="Z41" s="55" t="str">
        <f t="shared" si="13"/>
        <v>宗地开发程度</v>
      </c>
      <c r="AA41" s="713">
        <f t="shared" si="3"/>
        <v>1</v>
      </c>
      <c r="AB41" s="713">
        <f t="shared" si="4"/>
        <v>1</v>
      </c>
      <c r="AC41" s="713">
        <f t="shared" si="5"/>
        <v>1</v>
      </c>
    </row>
    <row r="42" spans="1:29" ht="15">
      <c r="A42" s="431"/>
      <c r="B42" s="381" t="s">
        <v>2335</v>
      </c>
      <c r="C42" s="2039"/>
      <c r="D42" s="394">
        <v>100</v>
      </c>
      <c r="E42" s="2039"/>
      <c r="F42" s="394">
        <f>SUMIF(124:124,E42,125:125)-SUMIF(124:124,C42,125:125)+100</f>
        <v>100</v>
      </c>
      <c r="G42" s="2039"/>
      <c r="H42" s="394">
        <f>SUMIF(124:124,G42,125:125)-SUMIF(124:124,C42,125:125)+100</f>
        <v>100</v>
      </c>
      <c r="I42" s="2039"/>
      <c r="J42" s="394">
        <f>SUMIF(124:124,I42,125:125)-SUMIF(124:124,C42,125:125)+100</f>
        <v>100</v>
      </c>
      <c r="K42" s="569"/>
      <c r="L42" s="2897"/>
      <c r="M42" s="2891"/>
      <c r="N42" s="2891"/>
      <c r="O42" s="2949"/>
      <c r="P42" s="3484" t="s">
        <v>2145</v>
      </c>
      <c r="Q42" s="1484" t="str">
        <f t="shared" si="14"/>
        <v>工程地质条件</v>
      </c>
      <c r="R42" s="714" t="s">
        <v>17</v>
      </c>
      <c r="S42" s="715">
        <f t="shared" si="10"/>
        <v>100</v>
      </c>
      <c r="T42" s="714" t="s">
        <v>17</v>
      </c>
      <c r="U42" s="715">
        <f t="shared" si="11"/>
        <v>100</v>
      </c>
      <c r="V42" s="714" t="s">
        <v>17</v>
      </c>
      <c r="W42" s="715">
        <f t="shared" si="12"/>
        <v>100</v>
      </c>
      <c r="X42" s="1487"/>
      <c r="Y42" s="3484" t="s">
        <v>2145</v>
      </c>
      <c r="Z42" s="1488" t="str">
        <f t="shared" si="13"/>
        <v>工程地质条件</v>
      </c>
      <c r="AA42" s="1485">
        <f t="shared" si="3"/>
        <v>1</v>
      </c>
      <c r="AB42" s="1485">
        <f t="shared" si="4"/>
        <v>1</v>
      </c>
      <c r="AC42" s="1485">
        <f t="shared" si="5"/>
        <v>1</v>
      </c>
    </row>
    <row r="43" spans="1:29" ht="15">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84"/>
      <c r="Q43" s="1484">
        <f t="shared" si="14"/>
        <v>111</v>
      </c>
      <c r="R43" s="714" t="s">
        <v>17</v>
      </c>
      <c r="S43" s="715">
        <f t="shared" si="10"/>
        <v>100</v>
      </c>
      <c r="T43" s="714" t="s">
        <v>17</v>
      </c>
      <c r="U43" s="715">
        <f t="shared" si="11"/>
        <v>100</v>
      </c>
      <c r="V43" s="714" t="s">
        <v>17</v>
      </c>
      <c r="W43" s="715">
        <f t="shared" si="12"/>
        <v>100</v>
      </c>
      <c r="X43" s="1487"/>
      <c r="Y43" s="3484"/>
      <c r="Z43" s="1488">
        <f t="shared" si="13"/>
        <v>111</v>
      </c>
      <c r="AA43" s="1485">
        <f t="shared" si="3"/>
        <v>1</v>
      </c>
      <c r="AB43" s="1485">
        <f t="shared" si="4"/>
        <v>1</v>
      </c>
      <c r="AC43" s="1485">
        <f t="shared" si="5"/>
        <v>1</v>
      </c>
    </row>
    <row r="44" spans="1:29" ht="15">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84"/>
      <c r="Q44" s="1484">
        <f t="shared" si="14"/>
        <v>111</v>
      </c>
      <c r="R44" s="714" t="s">
        <v>17</v>
      </c>
      <c r="S44" s="715">
        <f t="shared" si="10"/>
        <v>100</v>
      </c>
      <c r="T44" s="714" t="s">
        <v>17</v>
      </c>
      <c r="U44" s="715">
        <f t="shared" si="11"/>
        <v>100</v>
      </c>
      <c r="V44" s="714" t="s">
        <v>17</v>
      </c>
      <c r="W44" s="715">
        <f t="shared" si="12"/>
        <v>100</v>
      </c>
      <c r="X44" s="1487"/>
      <c r="Y44" s="3484"/>
      <c r="Z44" s="1488">
        <f t="shared" si="13"/>
        <v>111</v>
      </c>
      <c r="AA44" s="1485">
        <f t="shared" si="3"/>
        <v>1</v>
      </c>
      <c r="AB44" s="1485">
        <f t="shared" si="4"/>
        <v>1</v>
      </c>
      <c r="AC44" s="1485">
        <f t="shared" si="5"/>
        <v>1</v>
      </c>
    </row>
    <row r="45" spans="1:29" s="430" customFormat="1" ht="15.75" thickBot="1">
      <c r="A45" s="427"/>
      <c r="B45" s="1246">
        <v>111</v>
      </c>
      <c r="C45" s="2114"/>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84"/>
      <c r="Q45" s="1484">
        <f t="shared" si="14"/>
        <v>111</v>
      </c>
      <c r="R45" s="717" t="s">
        <v>17</v>
      </c>
      <c r="S45" s="718">
        <f t="shared" si="10"/>
        <v>100</v>
      </c>
      <c r="T45" s="717" t="s">
        <v>17</v>
      </c>
      <c r="U45" s="718">
        <f t="shared" si="11"/>
        <v>100</v>
      </c>
      <c r="V45" s="717" t="s">
        <v>17</v>
      </c>
      <c r="W45" s="718">
        <f t="shared" si="12"/>
        <v>100</v>
      </c>
      <c r="X45" s="719"/>
      <c r="Y45" s="3484"/>
      <c r="Z45" s="720">
        <f t="shared" si="13"/>
        <v>111</v>
      </c>
      <c r="AA45" s="1485">
        <f t="shared" si="3"/>
        <v>1</v>
      </c>
      <c r="AB45" s="1485">
        <f t="shared" si="4"/>
        <v>1</v>
      </c>
      <c r="AC45" s="1485">
        <f t="shared" si="5"/>
        <v>1</v>
      </c>
    </row>
    <row r="46" spans="1:29" ht="15">
      <c r="A46" s="438" t="s">
        <v>2300</v>
      </c>
      <c r="B46" s="2115" t="s">
        <v>2336</v>
      </c>
      <c r="C46" s="638" t="s">
        <v>1</v>
      </c>
      <c r="D46" s="440"/>
      <c r="E46" s="441"/>
      <c r="F46" s="442"/>
      <c r="G46" s="443"/>
      <c r="H46" s="444"/>
      <c r="I46" s="441"/>
      <c r="J46" s="444"/>
      <c r="K46" s="723"/>
      <c r="L46" s="2899"/>
      <c r="M46" s="2900"/>
      <c r="N46" s="2891"/>
      <c r="O46" s="2900"/>
      <c r="P46" s="3465" t="str">
        <f>A46</f>
        <v>成交单价</v>
      </c>
      <c r="Q46" s="3465"/>
      <c r="R46" s="3481">
        <f>E46</f>
        <v>0</v>
      </c>
      <c r="S46" s="3481"/>
      <c r="T46" s="3481">
        <f>G46</f>
        <v>0</v>
      </c>
      <c r="U46" s="3481"/>
      <c r="V46" s="3481">
        <f>I46</f>
        <v>0</v>
      </c>
      <c r="W46" s="3481"/>
      <c r="X46" s="699"/>
      <c r="Y46" s="721"/>
      <c r="Z46" s="699"/>
      <c r="AA46" s="699"/>
      <c r="AB46" s="699"/>
      <c r="AC46" s="699"/>
    </row>
    <row r="47" spans="1:29" ht="15.75" thickBot="1">
      <c r="A47" s="445" t="s">
        <v>2249</v>
      </c>
      <c r="B47" s="639"/>
      <c r="C47" s="448" t="e">
        <f>R48</f>
        <v>#DIV/0!</v>
      </c>
      <c r="D47" s="2485" t="s">
        <v>2638</v>
      </c>
      <c r="E47" s="448" t="e">
        <f>R47</f>
        <v>#DIV/0!</v>
      </c>
      <c r="F47" s="2486"/>
      <c r="G47" s="447" t="e">
        <f>T47</f>
        <v>#DIV/0!</v>
      </c>
      <c r="H47" s="2486"/>
      <c r="I47" s="448" t="e">
        <f>V47</f>
        <v>#DIV/0!</v>
      </c>
      <c r="J47" s="2486"/>
      <c r="K47" s="2488">
        <f>F47+H47+J47</f>
        <v>0</v>
      </c>
      <c r="L47" s="2899"/>
      <c r="M47" s="2900"/>
      <c r="N47" s="2900"/>
      <c r="O47" s="2900"/>
      <c r="P47" s="3465" t="str">
        <f>A47</f>
        <v>比较价值（元/平方米）</v>
      </c>
      <c r="Q47" s="3465"/>
      <c r="R47" s="3503" t="e">
        <f>ROUND(PRODUCT(R46,AA7:AA45),0)</f>
        <v>#DIV/0!</v>
      </c>
      <c r="S47" s="3503"/>
      <c r="T47" s="3503" t="e">
        <f>ROUND(PRODUCT(T46,AB7:AB45),0)</f>
        <v>#DIV/0!</v>
      </c>
      <c r="U47" s="3503"/>
      <c r="V47" s="3503" t="e">
        <f>ROUND(PRODUCT(V46,AC7:AC45),0)</f>
        <v>#DIV/0!</v>
      </c>
      <c r="W47" s="350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9"/>
      <c r="M48" s="2900"/>
      <c r="N48" s="2900"/>
      <c r="O48" s="2900"/>
      <c r="P48" s="3500" t="str">
        <f>A48</f>
        <v>估价对象XX用房的比较价值（楼面单价，元/平方米）</v>
      </c>
      <c r="Q48" s="3501"/>
      <c r="R48" s="3502" t="e">
        <f>ROUND(IF(D47="简单平均",AVERAGE(R47:W47),R47*F47+T47*H47+V47*J47),0)</f>
        <v>#DIV/0!</v>
      </c>
      <c r="S48" s="3502"/>
      <c r="T48" s="3502"/>
      <c r="U48" s="3502"/>
      <c r="V48" s="3502"/>
      <c r="W48" s="3502"/>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2338</v>
      </c>
      <c r="B55" s="641" t="s">
        <v>2339</v>
      </c>
      <c r="C55" s="2116" t="s">
        <v>2340</v>
      </c>
      <c r="D55" s="2117" t="s">
        <v>2341</v>
      </c>
      <c r="E55" s="642" t="s">
        <v>2342</v>
      </c>
      <c r="F55" s="999" t="s">
        <v>2343</v>
      </c>
      <c r="G55" s="3462" t="s">
        <v>2344</v>
      </c>
      <c r="H55" s="3463"/>
      <c r="I55" s="140" t="s">
        <v>2345</v>
      </c>
      <c r="J55" s="2118">
        <f>项目基本情况!F35</f>
        <v>0</v>
      </c>
      <c r="K55" s="2119" t="s">
        <v>2346</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2347</v>
      </c>
      <c r="B56" s="645" t="e">
        <f>C48</f>
        <v>#DIV/0!</v>
      </c>
      <c r="C56" s="646">
        <v>1</v>
      </c>
      <c r="D56" s="1053">
        <v>1</v>
      </c>
      <c r="E56" s="646">
        <f>'数据-汇总表'!E8+'数据-汇总表'!E9</f>
        <v>0</v>
      </c>
      <c r="F56" s="995" t="e">
        <f t="shared" ref="F56:F64" si="15">ROUND(B56*E56/10000,0)</f>
        <v>#DIV/0!</v>
      </c>
      <c r="G56" s="3464"/>
      <c r="H56" s="3465"/>
      <c r="I56" s="1000">
        <v>1</v>
      </c>
      <c r="J56" s="1003">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2348</v>
      </c>
      <c r="B57" s="224" t="e">
        <f>ROUND($C$48*C57*D57,0)</f>
        <v>#DIV/0!</v>
      </c>
      <c r="C57" s="176">
        <f t="shared" ref="C57:C64" si="16">IF($C$55="北京市系数",I57,J57)</f>
        <v>0</v>
      </c>
      <c r="D57" s="1054">
        <v>0.25</v>
      </c>
      <c r="E57" s="650"/>
      <c r="F57" s="995" t="e">
        <f t="shared" si="15"/>
        <v>#DIV/0!</v>
      </c>
      <c r="G57" s="3224" t="s">
        <v>2349</v>
      </c>
      <c r="H57" s="996">
        <f>项目基本情况!B37</f>
        <v>0</v>
      </c>
      <c r="I57" s="1000">
        <f>SUMIF(修正!A57:A68,H57,修正!B57:B68)</f>
        <v>0</v>
      </c>
      <c r="J57" s="1004"/>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2350</v>
      </c>
      <c r="B58" s="224" t="e">
        <f t="shared" ref="B58:B64" si="17">ROUND($C$48*C58*D58,0)</f>
        <v>#DIV/0!</v>
      </c>
      <c r="C58" s="176">
        <f t="shared" si="16"/>
        <v>0</v>
      </c>
      <c r="D58" s="1054">
        <v>0.25</v>
      </c>
      <c r="E58" s="650"/>
      <c r="F58" s="995" t="e">
        <f t="shared" si="15"/>
        <v>#DIV/0!</v>
      </c>
      <c r="G58" s="3225"/>
      <c r="H58" s="996">
        <f>项目基本情况!B37</f>
        <v>0</v>
      </c>
      <c r="I58" s="1000">
        <f>SUMIF(修正!A57:A68,H58,修正!C57:C68)</f>
        <v>0</v>
      </c>
      <c r="J58" s="1004"/>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2351</v>
      </c>
      <c r="B59" s="224" t="e">
        <f t="shared" si="17"/>
        <v>#DIV/0!</v>
      </c>
      <c r="C59" s="176">
        <f t="shared" si="16"/>
        <v>0</v>
      </c>
      <c r="D59" s="1054">
        <v>0.25</v>
      </c>
      <c r="E59" s="650"/>
      <c r="F59" s="995" t="e">
        <f t="shared" si="15"/>
        <v>#DIV/0!</v>
      </c>
      <c r="G59" s="3225"/>
      <c r="H59" s="996">
        <f>项目基本情况!B37</f>
        <v>0</v>
      </c>
      <c r="I59" s="1000">
        <f>SUMIF(修正!A57:A68,H59,修正!D57:D68)</f>
        <v>0</v>
      </c>
      <c r="J59" s="1004"/>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2352</v>
      </c>
      <c r="B60" s="224" t="e">
        <f t="shared" si="17"/>
        <v>#DIV/0!</v>
      </c>
      <c r="C60" s="176">
        <f t="shared" si="16"/>
        <v>0</v>
      </c>
      <c r="D60" s="1054">
        <v>0.25</v>
      </c>
      <c r="E60" s="223">
        <f>'数据-汇总表'!E11</f>
        <v>0</v>
      </c>
      <c r="F60" s="995" t="e">
        <f t="shared" si="15"/>
        <v>#DIV/0!</v>
      </c>
      <c r="G60" s="2120" t="s">
        <v>2353</v>
      </c>
      <c r="H60" s="996">
        <f>项目基本情况!C37</f>
        <v>0</v>
      </c>
      <c r="I60" s="1000">
        <f>SUMIF(修正!A57:A68,H60,修正!E57:E68)</f>
        <v>0</v>
      </c>
      <c r="J60" s="1004"/>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2358</v>
      </c>
      <c r="B63" s="224" t="e">
        <f t="shared" si="17"/>
        <v>#DIV/0!</v>
      </c>
      <c r="C63" s="176">
        <f t="shared" si="16"/>
        <v>0</v>
      </c>
      <c r="D63" s="1054">
        <v>0.25</v>
      </c>
      <c r="E63" s="223">
        <f>'数据-汇总表'!E14</f>
        <v>0</v>
      </c>
      <c r="F63" s="995" t="e">
        <f t="shared" si="15"/>
        <v>#DIV/0!</v>
      </c>
      <c r="G63" s="2120" t="s">
        <v>2349</v>
      </c>
      <c r="H63" s="996">
        <f>项目基本情况!B37</f>
        <v>0</v>
      </c>
      <c r="I63" s="1000">
        <f>SUMIF(修正!A57:A68,H63,修正!G57:G68)</f>
        <v>0</v>
      </c>
      <c r="J63" s="1004"/>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2359</v>
      </c>
      <c r="B64" s="224" t="e">
        <f t="shared" si="17"/>
        <v>#DIV/0!</v>
      </c>
      <c r="C64" s="176">
        <f t="shared" si="16"/>
        <v>0</v>
      </c>
      <c r="D64" s="1054">
        <v>0.25</v>
      </c>
      <c r="E64" s="223">
        <f>'数据-汇总表'!E15</f>
        <v>0</v>
      </c>
      <c r="F64" s="995" t="e">
        <f t="shared" si="15"/>
        <v>#DIV/0!</v>
      </c>
      <c r="G64" s="2121" t="s">
        <v>2353</v>
      </c>
      <c r="H64" s="1006">
        <f>项目基本情况!C37</f>
        <v>0</v>
      </c>
      <c r="I64" s="1002">
        <f>SUMIF(修正!A57:A68,H64,修正!G57:G68)</f>
        <v>0</v>
      </c>
      <c r="J64" s="1005"/>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2360</v>
      </c>
      <c r="B65" s="652" t="s">
        <v>28</v>
      </c>
      <c r="C65" s="652" t="s">
        <v>29</v>
      </c>
      <c r="D65" s="652" t="s">
        <v>816</v>
      </c>
      <c r="E65" s="652">
        <f>IF(B46="楼面地价",SUM(E56:E64),'数据-汇总表'!D3)</f>
        <v>0</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6"/>
      <c r="K66" s="997"/>
      <c r="L66" s="998"/>
      <c r="M66" s="1036"/>
      <c r="N66" s="1036"/>
      <c r="O66" s="1036"/>
      <c r="P66" s="2900"/>
      <c r="Q66" s="2900"/>
      <c r="R66" s="2900"/>
      <c r="S66" s="2900"/>
      <c r="T66" s="2900"/>
      <c r="U66" s="2900"/>
      <c r="V66" s="2900"/>
      <c r="W66" s="2900"/>
      <c r="X66" s="2900"/>
      <c r="Y66" s="2900"/>
      <c r="Z66" s="2900"/>
      <c r="AA66" s="2900"/>
      <c r="AB66" s="2900"/>
      <c r="AC66" s="2900"/>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0"/>
      <c r="Q67" s="2900"/>
      <c r="R67" s="2900"/>
      <c r="S67" s="2900"/>
      <c r="T67" s="2900"/>
      <c r="U67" s="2900"/>
      <c r="V67" s="2900"/>
      <c r="W67" s="2900"/>
      <c r="X67" s="2900"/>
      <c r="Y67" s="2900"/>
      <c r="Z67" s="2900"/>
      <c r="AA67" s="2900"/>
      <c r="AB67" s="2900"/>
      <c r="AC67" s="2900"/>
    </row>
    <row r="68" spans="1:29" ht="21.75" thickBot="1">
      <c r="A68" s="703" t="s">
        <v>2254</v>
      </c>
      <c r="B68" s="699"/>
      <c r="C68" s="704"/>
      <c r="D68" s="704"/>
      <c r="E68" s="704"/>
      <c r="F68" s="705"/>
      <c r="G68" s="705"/>
      <c r="H68" s="704"/>
      <c r="I68" s="704"/>
      <c r="J68" s="1049"/>
      <c r="K68" s="1050"/>
      <c r="L68" s="1051"/>
      <c r="M68" s="1049"/>
      <c r="N68" s="2944"/>
      <c r="O68" s="2944"/>
      <c r="P68" s="2944"/>
      <c r="Q68" s="2914"/>
      <c r="R68" s="2900"/>
      <c r="S68" s="2900"/>
      <c r="T68" s="2900"/>
      <c r="U68" s="2900"/>
      <c r="V68" s="2900"/>
      <c r="W68" s="2900"/>
      <c r="X68" s="2900"/>
      <c r="Y68" s="2900"/>
      <c r="Z68" s="2900"/>
      <c r="AA68" s="2900"/>
      <c r="AB68" s="2900"/>
      <c r="AC68" s="2900"/>
    </row>
    <row r="69" spans="1:29" s="465" customFormat="1" ht="15">
      <c r="A69" s="2122"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51"/>
      <c r="Q69" s="2916"/>
      <c r="R69" s="2916"/>
      <c r="S69" s="2916"/>
      <c r="T69" s="2916"/>
      <c r="U69" s="2916"/>
      <c r="V69" s="2916"/>
      <c r="W69" s="2916"/>
      <c r="X69" s="2916"/>
      <c r="Y69" s="2916"/>
      <c r="Z69" s="2916"/>
      <c r="AA69" s="2916"/>
      <c r="AB69" s="2916"/>
      <c r="AC69" s="2916"/>
    </row>
    <row r="70" spans="1:29" s="113" customFormat="1" ht="30" customHeight="1">
      <c r="A70" s="2123"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4"/>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2"/>
      <c r="P71" s="2914"/>
      <c r="Q71" s="2914"/>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2168</v>
      </c>
      <c r="B74" s="485" t="s">
        <v>2134</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2137</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2139</v>
      </c>
      <c r="B87" s="485" t="s">
        <v>2176</v>
      </c>
      <c r="C87" s="530" t="s">
        <v>2177</v>
      </c>
      <c r="D87" s="530" t="s">
        <v>2178</v>
      </c>
      <c r="E87" s="530" t="s">
        <v>2179</v>
      </c>
      <c r="F87" s="530" t="s">
        <v>2180</v>
      </c>
      <c r="G87" s="530" t="s">
        <v>2181</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2363</v>
      </c>
      <c r="C89" s="535" t="s">
        <v>2177</v>
      </c>
      <c r="D89" s="535" t="s">
        <v>2178</v>
      </c>
      <c r="E89" s="535" t="s">
        <v>2179</v>
      </c>
      <c r="F89" s="535" t="s">
        <v>2180</v>
      </c>
      <c r="G89" s="535" t="s">
        <v>2181</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2277</v>
      </c>
      <c r="C91" s="535" t="s">
        <v>2177</v>
      </c>
      <c r="D91" s="535" t="s">
        <v>2178</v>
      </c>
      <c r="E91" s="535" t="s">
        <v>2179</v>
      </c>
      <c r="F91" s="535" t="s">
        <v>2180</v>
      </c>
      <c r="G91" s="535" t="s">
        <v>2181</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2182</v>
      </c>
      <c r="C93" s="535" t="s">
        <v>2177</v>
      </c>
      <c r="D93" s="535" t="s">
        <v>2178</v>
      </c>
      <c r="E93" s="535" t="s">
        <v>2179</v>
      </c>
      <c r="F93" s="535" t="s">
        <v>2180</v>
      </c>
      <c r="G93" s="535" t="s">
        <v>2181</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4"/>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2271</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2330</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2371</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2372</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2373</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2374</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2382</v>
      </c>
      <c r="B1" s="203"/>
      <c r="C1" s="207" t="s">
        <v>2383</v>
      </c>
      <c r="D1" s="348">
        <f>SUM(D29:D30,D33:D39)</f>
        <v>0</v>
      </c>
      <c r="E1" s="2128"/>
      <c r="F1" s="2128"/>
      <c r="G1" s="2128"/>
      <c r="H1" s="2128"/>
      <c r="I1" s="2128"/>
      <c r="J1" s="2128"/>
      <c r="K1" s="1230"/>
      <c r="L1" s="2129" t="s">
        <v>2384</v>
      </c>
      <c r="M1" s="972">
        <f>SUMPRODUCT((区片价!B5:B9=I2)*(区片价!C3:F3=E2)*(区片价!C5:F9))</f>
        <v>0</v>
      </c>
      <c r="N1" s="975">
        <f>SUMPRODUCT((因素修正幅度!B5:B9=I2)*(因素修正幅度!C3:F3=E2)*(因素修正幅度!C5:F9))</f>
        <v>0</v>
      </c>
      <c r="O1" s="2130"/>
      <c r="P1" s="2130"/>
      <c r="Q1" s="1230"/>
      <c r="R1" s="1324" t="s">
        <v>2385</v>
      </c>
      <c r="S1" s="1324" t="s">
        <v>2386</v>
      </c>
      <c r="T1" s="1324" t="s">
        <v>2387</v>
      </c>
      <c r="U1" s="1324" t="s">
        <v>2388</v>
      </c>
      <c r="V1" s="1324" t="s">
        <v>2389</v>
      </c>
      <c r="W1" s="1328"/>
      <c r="X1" s="1328"/>
      <c r="Y1" s="1328"/>
      <c r="Z1" s="1328"/>
      <c r="AA1" s="1328"/>
      <c r="AB1" s="1328"/>
      <c r="AC1" s="1329"/>
      <c r="AD1" s="1330"/>
      <c r="AE1" s="1330"/>
      <c r="AF1" s="1330"/>
      <c r="AG1" s="1330"/>
      <c r="AH1" s="1330"/>
      <c r="AI1" s="1330"/>
      <c r="AJ1" s="1331"/>
    </row>
    <row r="2" spans="1:36" ht="15.75">
      <c r="A2" s="207" t="s">
        <v>2390</v>
      </c>
      <c r="B2" s="210" t="e">
        <f>C26</f>
        <v>#DIV/0!</v>
      </c>
      <c r="C2" s="2132" t="s">
        <v>2391</v>
      </c>
      <c r="D2" s="2133" t="s">
        <v>2392</v>
      </c>
      <c r="E2" s="2134"/>
      <c r="F2" s="2133" t="s">
        <v>2393</v>
      </c>
      <c r="G2" s="2135">
        <f>IF(E2="商业",项目基本情况!B37,IF(E2="办公",项目基本情况!C37,IF(E2="住宅",项目基本情况!D37,项目基本情况!E37)))</f>
        <v>0</v>
      </c>
      <c r="H2" s="2133" t="s">
        <v>2394</v>
      </c>
      <c r="I2" s="2135">
        <f>IF(E2="商业",项目基本情况!B38,IF(E2="办公",项目基本情况!C38,IF(E2="住宅",项目基本情况!D38,项目基本情况!E38)))</f>
        <v>0</v>
      </c>
      <c r="J2" s="2136"/>
      <c r="K2" s="1230"/>
      <c r="L2" s="2137" t="s">
        <v>2395</v>
      </c>
      <c r="M2" s="973">
        <f>SUMPRODUCT((区片价!B10:B28=I2)*(区片价!C3:F3=E2)*(区片价!C10:F28))</f>
        <v>0</v>
      </c>
      <c r="N2" s="975">
        <f>SUMPRODUCT((因素修正幅度!B10:B28=I2)*(因素修正幅度!C3:F3=E2)*(因素修正幅度!C10:F28))</f>
        <v>0</v>
      </c>
      <c r="O2" s="1230"/>
      <c r="P2" s="1230"/>
      <c r="Q2" s="1230"/>
      <c r="R2" s="1324">
        <v>1</v>
      </c>
      <c r="S2" s="1324" t="e">
        <f>ROUND(IF(G3&gt;1,IF(R2&lt;7,SUMPRODUCT((B93:B98=R2)*(C92:N92=G2)*(C93:N98)),SUMIF(C92:N92,G2,C100:N100)),IF(R2&lt;7,SUMPRODUCT((B102:B107=R2)*(C92:N92=G2)*(C102:N107)),SUMIF(C92:N92,G2,C109:N109))),4)</f>
        <v>#DIV/0!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2396</v>
      </c>
      <c r="B3" s="210" t="e">
        <f>ROUND(B2*10000/D1,0)</f>
        <v>#DIV/0!</v>
      </c>
      <c r="C3" s="2132" t="s">
        <v>2397</v>
      </c>
      <c r="D3" s="2133" t="s">
        <v>2398</v>
      </c>
      <c r="E3" s="2138"/>
      <c r="F3" s="2139" t="s">
        <v>2399</v>
      </c>
      <c r="G3" s="834" t="e">
        <f>IF(F3="宗地容积率",'数据-汇总表'!I4,IF(F3="估价对象容积率",'数据-汇总表'!I6,'数据-汇总表'!I7))</f>
        <v>#DIV/0!</v>
      </c>
      <c r="H3" s="175" t="s">
        <v>2400</v>
      </c>
      <c r="I3" s="859"/>
      <c r="J3" s="2136" t="s">
        <v>2401</v>
      </c>
      <c r="K3" s="1230"/>
      <c r="L3" s="2137" t="s">
        <v>2402</v>
      </c>
      <c r="M3" s="973">
        <f>SUMPRODUCT((区片价!B29:B48=I2)*(区片价!C3:F3=E2)*(区片价!C29:F48))</f>
        <v>0</v>
      </c>
      <c r="N3" s="975">
        <f>SUMPRODUCT((因素修正幅度!B29:B48=I2)*(因素修正幅度!C3:F3=E2)*(因素修正幅度!C29:F48))</f>
        <v>0</v>
      </c>
      <c r="O3" s="1230"/>
      <c r="P3" s="1230"/>
      <c r="Q3" s="1230"/>
      <c r="R3" s="1324">
        <v>2</v>
      </c>
      <c r="S3" s="1324" t="e">
        <f>ROUND(IF(G3&gt;1,IF(R3&lt;7,SUMPRODUCT((B93:B98=R3)*(C92:N92=G2)*(C93:N98)),SUMIF(C92:N92,G2,C100:N100)),IF(R3&lt;7,SUMPRODUCT((B102:B107=R3)*(C92:N92=G2)*(C102:N107)),SUMIF(C92:N92,G2,C109:N109))),4)</f>
        <v>#DIV/0!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561"/>
      <c r="B4" s="3562"/>
      <c r="C4" s="3562"/>
      <c r="D4" s="3563"/>
      <c r="E4" s="3563"/>
      <c r="F4" s="3563"/>
      <c r="G4" s="3563"/>
      <c r="H4" s="3563"/>
      <c r="I4" s="3563"/>
      <c r="J4" s="3564"/>
      <c r="K4" s="1230"/>
      <c r="L4" s="2137" t="s">
        <v>2403</v>
      </c>
      <c r="M4" s="973">
        <f>SUMPRODUCT((区片价!B49:B75=I2)*(区片价!C3:F3=E2)*(区片价!C49:F75))</f>
        <v>0</v>
      </c>
      <c r="N4" s="975">
        <f>SUMPRODUCT((因素修正幅度!B49:B75=I2)*(因素修正幅度!C3:F3=E2)*(因素修正幅度!C49:F75))</f>
        <v>0</v>
      </c>
      <c r="O4" s="1230"/>
      <c r="P4" s="1230"/>
      <c r="Q4" s="1230"/>
      <c r="R4" s="1324">
        <v>3</v>
      </c>
      <c r="S4" s="1324" t="e">
        <f>ROUND(IF(G3&gt;1,IF(R4&lt;7,SUMPRODUCT((B93:B98=R4)*(C92:N92=G2)*(C93:N98)),SUMIF(C92:N92,G2,C100:N100)),IF(R4&lt;7,SUMPRODUCT((B102:B107=R4)*(C92:N92=G2)*(C102:N107)),SUMIF(C92:N92,G2,C109:N109))),4)</f>
        <v>#DIV/0!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2404</v>
      </c>
      <c r="C5" s="835" t="e">
        <f>ROUND(IF(E2="商业",C6*C7+C16,(IF(E2="住宅",C6*C12+C16,C6+C16))),0)</f>
        <v>#DIV/0!</v>
      </c>
      <c r="D5" s="1471" t="e">
        <f>ROUND(C6+C16,0)</f>
        <v>#DIV/0!</v>
      </c>
      <c r="E5" s="1471"/>
      <c r="F5" s="2142"/>
      <c r="G5" s="2143"/>
      <c r="H5" s="2143"/>
      <c r="I5" s="2143"/>
      <c r="J5" s="2144"/>
      <c r="K5" s="2145"/>
      <c r="L5" s="2137" t="s">
        <v>2405</v>
      </c>
      <c r="M5" s="973">
        <f>SUMPRODUCT((区片价!B76:B109=I2)*(区片价!C3:F3=E2)*(区片价!C76:F109))</f>
        <v>0</v>
      </c>
      <c r="N5" s="975">
        <f>SUMPRODUCT((因素修正幅度!B76:B109=I2)*(因素修正幅度!C3:F3=E2)*(因素修正幅度!C76:F109))</f>
        <v>0</v>
      </c>
      <c r="O5" s="1230"/>
      <c r="P5" s="1230"/>
      <c r="Q5" s="1230"/>
      <c r="R5" s="1324">
        <v>4</v>
      </c>
      <c r="S5" s="1324" t="e">
        <f>ROUND(IF(G3&gt;1,IF(R5&lt;7,SUMPRODUCT((B93:B98=R5)*(C92:N92=G2)*(C93:N98)),SUMIF(C92:N92,G2,C100:N100)),IF(R5&lt;7,SUMPRODUCT((B102:B107=R5)*(C92:N92=G2)*(C102:N107)),SUMIF(C92:N92,G2,C109:N109))),4)</f>
        <v>#DIV/0!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2406</v>
      </c>
      <c r="B6" s="2151" t="s">
        <v>2407</v>
      </c>
      <c r="C6" s="836">
        <f>SUMIF(L1:L12,G2,M1:M12)</f>
        <v>0</v>
      </c>
      <c r="D6" s="2152" t="s">
        <v>2408</v>
      </c>
      <c r="E6" s="2153"/>
      <c r="F6" s="2153"/>
      <c r="G6" s="2154"/>
      <c r="H6" s="2154"/>
      <c r="I6" s="2154"/>
      <c r="J6" s="2155"/>
      <c r="K6" s="1516"/>
      <c r="L6" s="2137" t="s">
        <v>2409</v>
      </c>
      <c r="M6" s="973">
        <f>SUMPRODUCT((区片价!B110:B157=I2)*(区片价!C3:F3=E2)*(区片价!C110:F157))</f>
        <v>0</v>
      </c>
      <c r="N6" s="975">
        <f>SUMPRODUCT((因素修正幅度!B110:B157=I2)*(因素修正幅度!C3:F3=E2)*(因素修正幅度!C110:F157))</f>
        <v>0</v>
      </c>
      <c r="O6" s="1230"/>
      <c r="P6" s="1230"/>
      <c r="Q6" s="1230"/>
      <c r="R6" s="1324">
        <v>5</v>
      </c>
      <c r="S6" s="1324" t="e">
        <f>ROUND(IF(G3&gt;1,IF(R6&lt;7,SUMPRODUCT((B93:B98=R6)*(C92:N92=G2)*(C93:N98)),SUMIF(C92:N92,G2,C100:N100)),IF(R6&lt;7,SUMPRODUCT((B102:B107=R6)*(C92:N92=G2)*(C102:N107)),SUMIF(C92:N92,G2,C109:N109))),4)</f>
        <v>#DIV/0!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565" t="str">
        <f>IF(E2="商业",IF(C8="不临58条商业街","",2),"")</f>
        <v/>
      </c>
      <c r="B7" s="2156" t="s">
        <v>2410</v>
      </c>
      <c r="C7" s="837" t="e">
        <f>IF(C8="不临58条商业街",1,ROUND(1+(1.6*E8+1.2*E9+0.8*E10+0.4*E11)*C9,4))</f>
        <v>#DIV/0!</v>
      </c>
      <c r="D7" s="2157" t="s">
        <v>2411</v>
      </c>
      <c r="E7" s="860"/>
      <c r="F7" s="2158"/>
      <c r="G7" s="2159"/>
      <c r="H7" s="2159"/>
      <c r="I7" s="2159"/>
      <c r="J7" s="2160"/>
      <c r="K7" s="1516"/>
      <c r="L7" s="2137" t="s">
        <v>2412</v>
      </c>
      <c r="M7" s="973">
        <f>SUMPRODUCT((区片价!B158:B205=I2)*(区片价!C3:F3=E2)*(区片价!C158:F205))</f>
        <v>0</v>
      </c>
      <c r="N7" s="975">
        <f>SUMPRODUCT((因素修正幅度!B158:B205=I2)*(因素修正幅度!C3:F3=E2)*(因素修正幅度!C158:F205))</f>
        <v>0</v>
      </c>
      <c r="O7" s="1230"/>
      <c r="P7" s="1230"/>
      <c r="Q7" s="1230"/>
      <c r="R7" s="1324">
        <v>6</v>
      </c>
      <c r="S7" s="1324" t="e">
        <f>ROUND(IF(G3&gt;1,IF(R7&lt;7,SUMPRODUCT((B93:B98=R7)*(C92:N92=G2)*(C93:N98)),SUMIF(C92:N92,G2,C100:N100)),IF(R7&lt;7,SUMPRODUCT((B102:B107=R7)*(C92:N92=G2)*(C102:N107)),SUMIF(C92:N92,G2,C109:N109))),4)</f>
        <v>#DIV/0!</v>
      </c>
      <c r="T7" s="1324" t="e">
        <f t="shared" si="0"/>
        <v>#DIV/0!</v>
      </c>
      <c r="U7" s="1325"/>
      <c r="V7" s="1324" t="e">
        <f t="shared" si="1"/>
        <v>#DIV/0!</v>
      </c>
      <c r="W7" s="1490" t="s">
        <v>2413</v>
      </c>
      <c r="X7" s="1326">
        <f>G2</f>
        <v>0</v>
      </c>
      <c r="Y7" s="1326" t="s">
        <v>2414</v>
      </c>
      <c r="Z7" s="1327" t="e">
        <f>G3</f>
        <v>#DIV/0!</v>
      </c>
      <c r="AA7" s="1328"/>
      <c r="AB7" s="1328"/>
      <c r="AC7" s="1329"/>
      <c r="AD7" s="1330"/>
      <c r="AE7" s="1330"/>
      <c r="AF7" s="1330"/>
      <c r="AG7" s="1330"/>
      <c r="AH7" s="1330"/>
      <c r="AI7" s="1330"/>
      <c r="AJ7" s="1331"/>
    </row>
    <row r="8" spans="1:36" ht="15">
      <c r="A8" s="3566"/>
      <c r="B8" s="175" t="s">
        <v>2415</v>
      </c>
      <c r="C8" s="2161"/>
      <c r="D8" s="838" t="s">
        <v>139</v>
      </c>
      <c r="E8" s="839" t="e">
        <f>ROUND(C11/E7,4)</f>
        <v>#DIV/0!</v>
      </c>
      <c r="F8" s="2162" t="s">
        <v>2416</v>
      </c>
      <c r="G8" s="2163"/>
      <c r="H8" s="2163"/>
      <c r="I8" s="2163"/>
      <c r="J8" s="2164"/>
      <c r="K8" s="1230"/>
      <c r="L8" s="2137" t="s">
        <v>2417</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558" t="s">
        <v>2418</v>
      </c>
      <c r="X8" s="3559"/>
      <c r="Y8" s="1332" t="s">
        <v>2419</v>
      </c>
      <c r="Z8" s="1332" t="s">
        <v>2420</v>
      </c>
      <c r="AA8" s="1332" t="s">
        <v>2421</v>
      </c>
      <c r="AB8" s="1332" t="s">
        <v>2422</v>
      </c>
      <c r="AC8" s="1332" t="s">
        <v>2423</v>
      </c>
      <c r="AD8" s="1332" t="s">
        <v>2424</v>
      </c>
      <c r="AE8" s="1332" t="s">
        <v>2425</v>
      </c>
      <c r="AF8" s="1332" t="s">
        <v>2426</v>
      </c>
      <c r="AG8" s="1332" t="s">
        <v>2427</v>
      </c>
      <c r="AH8" s="1332" t="s">
        <v>2428</v>
      </c>
      <c r="AI8" s="1332" t="s">
        <v>2429</v>
      </c>
      <c r="AJ8" s="1332" t="s">
        <v>2430</v>
      </c>
    </row>
    <row r="9" spans="1:36" ht="15">
      <c r="A9" s="3566"/>
      <c r="B9" s="175" t="s">
        <v>2431</v>
      </c>
      <c r="C9" s="840">
        <f>SUMIF(修正!C71:C138,C8,修正!E71:E138)</f>
        <v>0</v>
      </c>
      <c r="D9" s="176" t="s">
        <v>140</v>
      </c>
      <c r="E9" s="176" t="e">
        <f>ROUND(C11/E7,4)</f>
        <v>#DIV/0!</v>
      </c>
      <c r="F9" s="2162" t="s">
        <v>2432</v>
      </c>
      <c r="G9" s="2163"/>
      <c r="H9" s="2163"/>
      <c r="I9" s="2163"/>
      <c r="J9" s="2164"/>
      <c r="K9" s="1230"/>
      <c r="L9" s="2137" t="s">
        <v>2433</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560" t="s">
        <v>2434</v>
      </c>
      <c r="X9" s="1333" t="s">
        <v>2435</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66"/>
      <c r="B10" s="175" t="s">
        <v>2436</v>
      </c>
      <c r="C10" s="176">
        <f>SUMIF(修正!C71:C138,C8,修正!F71:F138)</f>
        <v>0</v>
      </c>
      <c r="D10" s="176" t="s">
        <v>141</v>
      </c>
      <c r="E10" s="176" t="e">
        <f>ROUND(C11/E7,4)</f>
        <v>#DIV/0!</v>
      </c>
      <c r="F10" s="2162" t="s">
        <v>2437</v>
      </c>
      <c r="G10" s="2163"/>
      <c r="H10" s="2163"/>
      <c r="I10" s="2163"/>
      <c r="J10" s="2164"/>
      <c r="K10" s="1230"/>
      <c r="L10" s="2137" t="s">
        <v>2438</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560"/>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566"/>
      <c r="B11" s="2165" t="s">
        <v>2439</v>
      </c>
      <c r="C11" s="841">
        <f>C10/4</f>
        <v>0</v>
      </c>
      <c r="D11" s="841" t="s">
        <v>142</v>
      </c>
      <c r="E11" s="841" t="e">
        <f>ROUND(C11/E7,4)</f>
        <v>#DIV/0!</v>
      </c>
      <c r="F11" s="2166" t="s">
        <v>2440</v>
      </c>
      <c r="G11" s="2167"/>
      <c r="H11" s="2167"/>
      <c r="I11" s="2167"/>
      <c r="J11" s="2168"/>
      <c r="K11" s="1230"/>
      <c r="L11" s="2137" t="s">
        <v>2441</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560" t="s">
        <v>2442</v>
      </c>
      <c r="X11" s="1336" t="s">
        <v>2443</v>
      </c>
      <c r="Y11" s="1337" t="e">
        <f>$G$3</f>
        <v>#DIV/0!</v>
      </c>
      <c r="Z11" s="1337" t="e">
        <f t="shared" ref="Z11:AJ11" si="3">$G$3</f>
        <v>#DIV/0!</v>
      </c>
      <c r="AA11" s="1337" t="e">
        <f t="shared" si="3"/>
        <v>#DIV/0!</v>
      </c>
      <c r="AB11" s="1337" t="e">
        <f t="shared" si="3"/>
        <v>#DIV/0!</v>
      </c>
      <c r="AC11" s="1337" t="e">
        <f t="shared" si="3"/>
        <v>#DIV/0!</v>
      </c>
      <c r="AD11" s="1337" t="e">
        <f t="shared" si="3"/>
        <v>#DIV/0!</v>
      </c>
      <c r="AE11" s="1337" t="e">
        <f t="shared" si="3"/>
        <v>#DIV/0!</v>
      </c>
      <c r="AF11" s="1337" t="e">
        <f t="shared" si="3"/>
        <v>#DIV/0!</v>
      </c>
      <c r="AG11" s="1337" t="e">
        <f t="shared" si="3"/>
        <v>#DIV/0!</v>
      </c>
      <c r="AH11" s="1337" t="e">
        <f t="shared" si="3"/>
        <v>#DIV/0!</v>
      </c>
      <c r="AI11" s="1337" t="e">
        <f t="shared" si="3"/>
        <v>#DIV/0!</v>
      </c>
      <c r="AJ11" s="1337" t="e">
        <f t="shared" si="3"/>
        <v>#DIV/0!</v>
      </c>
    </row>
    <row r="12" spans="1:36" ht="25.5" thickBot="1">
      <c r="A12" s="3565" t="s">
        <v>2444</v>
      </c>
      <c r="B12" s="2169" t="s">
        <v>2445</v>
      </c>
      <c r="C12" s="837">
        <f>ROUND(C15*D15*E15*F15*G15*H15*I15*J15,4)</f>
        <v>1</v>
      </c>
      <c r="D12" s="2170" t="s">
        <v>2446</v>
      </c>
      <c r="E12" s="2171"/>
      <c r="F12" s="2171"/>
      <c r="G12" s="2172"/>
      <c r="H12" s="2172"/>
      <c r="I12" s="2172"/>
      <c r="J12" s="2173"/>
      <c r="K12" s="1230"/>
      <c r="L12" s="2174" t="s">
        <v>2447</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560"/>
      <c r="X12" s="1338" t="s">
        <v>2448</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67"/>
      <c r="B13" s="2175" t="s">
        <v>2449</v>
      </c>
      <c r="C13" s="2176" t="s">
        <v>2450</v>
      </c>
      <c r="D13" s="1482" t="s">
        <v>2451</v>
      </c>
      <c r="E13" s="1482" t="s">
        <v>2452</v>
      </c>
      <c r="F13" s="30" t="s">
        <v>2453</v>
      </c>
      <c r="G13" s="2177" t="s">
        <v>2454</v>
      </c>
      <c r="H13" s="2177" t="s">
        <v>2454</v>
      </c>
      <c r="I13" s="2177" t="s">
        <v>2454</v>
      </c>
      <c r="J13" s="2178" t="s">
        <v>2454</v>
      </c>
      <c r="K13" s="1230"/>
      <c r="L13" s="1230"/>
      <c r="M13" s="1230"/>
      <c r="N13" s="1230"/>
      <c r="O13" s="1230"/>
      <c r="P13" s="1230"/>
      <c r="Q13" s="1230"/>
      <c r="R13" s="1324">
        <v>12</v>
      </c>
      <c r="S13" s="1325"/>
      <c r="T13" s="1324" t="e">
        <f t="shared" si="0"/>
        <v>#DIV/0!</v>
      </c>
      <c r="U13" s="1325"/>
      <c r="V13" s="1324" t="e">
        <f t="shared" si="1"/>
        <v>#DIV/0!</v>
      </c>
      <c r="W13" s="3560"/>
      <c r="X13" s="1338"/>
      <c r="Y13" s="1335" t="e">
        <f>(-0.163*(Y12^2)-0.59*Y12+7617)*(10^(-4))/Y11</f>
        <v>#DIV/0!</v>
      </c>
      <c r="Z13" s="1335" t="e">
        <f t="shared" ref="Z13:AJ13" si="5">(-0.163*(Z12^2)-0.59*Z12+7617)*(10^(-4))/Z11</f>
        <v>#DIV/0!</v>
      </c>
      <c r="AA13" s="1335" t="e">
        <f t="shared" si="5"/>
        <v>#DIV/0!</v>
      </c>
      <c r="AB13" s="1335" t="e">
        <f t="shared" si="5"/>
        <v>#DIV/0!</v>
      </c>
      <c r="AC13" s="1335" t="e">
        <f t="shared" si="5"/>
        <v>#DIV/0!</v>
      </c>
      <c r="AD13" s="1335" t="e">
        <f t="shared" si="5"/>
        <v>#DIV/0!</v>
      </c>
      <c r="AE13" s="1335" t="e">
        <f t="shared" si="5"/>
        <v>#DIV/0!</v>
      </c>
      <c r="AF13" s="1335" t="e">
        <f t="shared" si="5"/>
        <v>#DIV/0!</v>
      </c>
      <c r="AG13" s="1335" t="e">
        <f t="shared" si="5"/>
        <v>#DIV/0!</v>
      </c>
      <c r="AH13" s="1335" t="e">
        <f t="shared" si="5"/>
        <v>#DIV/0!</v>
      </c>
      <c r="AI13" s="1335" t="e">
        <f t="shared" si="5"/>
        <v>#DIV/0!</v>
      </c>
      <c r="AJ13" s="1335" t="e">
        <f t="shared" si="5"/>
        <v>#DIV/0!</v>
      </c>
    </row>
    <row r="14" spans="1:36" ht="15">
      <c r="A14" s="3567"/>
      <c r="B14" s="2179"/>
      <c r="C14" s="2180"/>
      <c r="D14" s="2181"/>
      <c r="E14" s="2181"/>
      <c r="F14" s="2182"/>
      <c r="G14" s="2183" t="s">
        <v>2455</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6"/>
      <c r="AE14" s="2966"/>
      <c r="AF14" s="2966"/>
      <c r="AG14" s="2966"/>
      <c r="AH14" s="2966"/>
      <c r="AI14" s="2966"/>
      <c r="AJ14" s="2967"/>
    </row>
    <row r="15" spans="1:36" ht="15.75" thickBot="1">
      <c r="A15" s="3568"/>
      <c r="B15" s="2187" t="s">
        <v>2456</v>
      </c>
      <c r="C15" s="193">
        <f>IF(C14="有",1.1,1)</f>
        <v>1</v>
      </c>
      <c r="D15" s="193">
        <f>IF(D14="有",1.1,1)</f>
        <v>1</v>
      </c>
      <c r="E15" s="193">
        <f>IF(E14="有",1.1,1)</f>
        <v>1</v>
      </c>
      <c r="F15" s="193">
        <f>IF(F14="500米范围内",1.2,IF(F14="500-1000米",1.1,1))</f>
        <v>1</v>
      </c>
      <c r="G15" s="861">
        <v>1</v>
      </c>
      <c r="H15" s="861">
        <v>1</v>
      </c>
      <c r="I15" s="861">
        <v>1</v>
      </c>
      <c r="J15" s="862">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6"/>
      <c r="AE15" s="2966"/>
      <c r="AF15" s="2966"/>
      <c r="AG15" s="2966"/>
      <c r="AH15" s="2966"/>
      <c r="AI15" s="2966"/>
      <c r="AJ15" s="2967"/>
    </row>
    <row r="16" spans="1:36" ht="24.6" customHeight="1">
      <c r="A16" s="3565" t="s">
        <v>2461</v>
      </c>
      <c r="B16" s="2156" t="s">
        <v>2462</v>
      </c>
      <c r="C16" s="2318" t="e">
        <f>ROUND(IF(F17="与级别开发程度一致",0,(G17-E17)/C17),0)</f>
        <v>#DIV/0!</v>
      </c>
      <c r="D16" s="3581" t="s">
        <v>2466</v>
      </c>
      <c r="E16" s="3582"/>
      <c r="F16" s="3581" t="s">
        <v>2463</v>
      </c>
      <c r="G16" s="3582"/>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6"/>
      <c r="AE16" s="2966"/>
      <c r="AF16" s="2966"/>
      <c r="AG16" s="2966"/>
      <c r="AH16" s="2966"/>
      <c r="AI16" s="2966"/>
      <c r="AJ16" s="2967"/>
    </row>
    <row r="17" spans="1:37" ht="13.5" thickBot="1">
      <c r="A17" s="3569"/>
      <c r="B17" s="2329" t="s">
        <v>2465</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2468</v>
      </c>
      <c r="C18" s="2325">
        <f>SUMIF(修正!C20:C51,E3,修正!E20:E51)</f>
        <v>0</v>
      </c>
      <c r="D18" s="2326"/>
      <c r="E18" s="2327"/>
      <c r="F18" s="2327"/>
      <c r="G18" s="2327"/>
      <c r="H18" s="2327"/>
      <c r="I18" s="2327"/>
      <c r="J18" s="2328"/>
      <c r="K18" s="1237"/>
      <c r="L18" s="2965"/>
      <c r="M18" s="2965"/>
      <c r="N18" s="2965"/>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5"/>
    </row>
    <row r="19" spans="1:37" s="2149" customFormat="1" ht="27.75" thickBot="1">
      <c r="A19" s="2193" t="s">
        <v>628</v>
      </c>
      <c r="B19" s="2194" t="s">
        <v>2469</v>
      </c>
      <c r="C19" s="842" t="e">
        <f>ROUND(IF(H19="按公示增长率计算",SUMPRODUCT((地价!A3:A37=YEAR(G19)&amp;"-"&amp;ROUNDUP(MONTH(G19)/3,0))*(地价!X2:AB2=E2)*(地价!X3:AB37)),IF(H19="地价指数",M20/M19,(1+I19)^O19)),4)</f>
        <v>#VALUE!</v>
      </c>
      <c r="D19" s="2198" t="s">
        <v>2470</v>
      </c>
      <c r="E19" s="843">
        <v>41640</v>
      </c>
      <c r="F19" s="2198" t="s">
        <v>2471</v>
      </c>
      <c r="G19" s="844">
        <f>'数据-取费表'!B2</f>
        <v>44788</v>
      </c>
      <c r="H19" s="2199"/>
      <c r="I19" s="845" t="str">
        <f>IF(H19="季度增幅（自定义）",SUMIF(N21:N24,E2,O21:O24),"")</f>
        <v/>
      </c>
      <c r="J19" s="2196"/>
      <c r="K19" s="1237"/>
      <c r="L19" s="2200" t="s">
        <v>2472</v>
      </c>
      <c r="M19" s="1446">
        <f>ROUND(SUMIF(地价!B2:F2,E2,地价!B37:F37),0)</f>
        <v>0</v>
      </c>
      <c r="N19" s="2201" t="s">
        <v>2473</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8"/>
      <c r="AH19" s="2287"/>
      <c r="AI19" s="2969"/>
      <c r="AJ19" s="2969"/>
      <c r="AK19" s="2202"/>
    </row>
    <row r="20" spans="1:37" s="2149" customFormat="1" ht="27.75" thickBot="1">
      <c r="A20" s="2203" t="s">
        <v>629</v>
      </c>
      <c r="B20" s="2204" t="s">
        <v>2474</v>
      </c>
      <c r="C20" s="847" t="e">
        <f>ROUND(POWER(1+G20,J20-I20)*(POWER(1+G20,I20)-1)/(POWER(1+G20,J20)-1),4)</f>
        <v>#DIV/0!</v>
      </c>
      <c r="D20" s="2205" t="s">
        <v>2475</v>
      </c>
      <c r="E20" s="1453">
        <f>存贷款利率!E21/100</f>
        <v>4.3499999999999997E-2</v>
      </c>
      <c r="F20" s="2205" t="s">
        <v>2467</v>
      </c>
      <c r="G20" s="851">
        <f>SUMIF(M26:P26,E2,M28:P28)</f>
        <v>0</v>
      </c>
      <c r="H20" s="2205" t="s">
        <v>2476</v>
      </c>
      <c r="I20" s="852" t="e">
        <f>SUMIF('数据-取费表'!C6:C15,E2,'数据-取费表'!F6:F15)/COUNTIF('数据-取费表'!C6:C15,E2)</f>
        <v>#DIV/0!</v>
      </c>
      <c r="J20" s="853">
        <f>IF(E2="住宅",70,IF(E2="商业",40,50))</f>
        <v>50</v>
      </c>
      <c r="K20" s="1237"/>
      <c r="L20" s="2206" t="s">
        <v>2477</v>
      </c>
      <c r="M20" s="1447">
        <f>ROUND(SUMPRODUCT((地价!A4:A37=YEAR(G19)&amp;"-"&amp;ROUNDUP(MONTH(G19)/3,0))*(地价!B2:F2=E2)*(地价!B4:F37)),0)</f>
        <v>0</v>
      </c>
      <c r="N20" s="2207" t="s">
        <v>2478</v>
      </c>
      <c r="O20" s="2208" t="s">
        <v>2479</v>
      </c>
      <c r="P20" s="2209" t="s">
        <v>2480</v>
      </c>
      <c r="Q20" s="2965"/>
      <c r="R20" s="1236"/>
      <c r="S20" s="1236"/>
      <c r="T20" s="1231"/>
      <c r="U20" s="1231"/>
      <c r="V20" s="1231"/>
      <c r="W20" s="1230"/>
      <c r="X20" s="1230"/>
      <c r="Y20" s="1230"/>
      <c r="Z20" s="1237"/>
      <c r="AA20" s="1237"/>
      <c r="AB20" s="1237"/>
      <c r="AC20" s="1237"/>
      <c r="AD20" s="1237"/>
      <c r="AE20" s="1237"/>
      <c r="AF20" s="1237"/>
      <c r="AG20" s="2965"/>
      <c r="AH20" s="2965"/>
      <c r="AI20" s="2965"/>
      <c r="AJ20" s="2965"/>
    </row>
    <row r="21" spans="1:37" s="2149" customFormat="1" ht="15">
      <c r="A21" s="2210" t="s">
        <v>630</v>
      </c>
      <c r="B21" s="2211" t="s">
        <v>2481</v>
      </c>
      <c r="C21" s="854" t="e">
        <f>IF(B21="容积率修正",IF(G3&lt;=10,D22,J22),C23)</f>
        <v>#DIV/0!</v>
      </c>
      <c r="D21" s="2212"/>
      <c r="E21" s="2212"/>
      <c r="F21" s="2212"/>
      <c r="G21" s="2212"/>
      <c r="H21" s="2212"/>
      <c r="I21" s="2212"/>
      <c r="J21" s="2213"/>
      <c r="K21" s="1237"/>
      <c r="L21" s="2965"/>
      <c r="M21" s="2965"/>
      <c r="N21" s="2214" t="s">
        <v>2482</v>
      </c>
      <c r="O21" s="1285"/>
      <c r="P21" s="1286">
        <f>SUMPRODUCT((地价!A3:A37=YEAR(G19)&amp;"-"&amp;ROUNDUP(MONTH(G19)/3,0))*(地价!AD2:AH2=N21)*(地价!AD3:AH37))</f>
        <v>0</v>
      </c>
      <c r="Q21" s="2965"/>
      <c r="R21" s="1236"/>
      <c r="S21" s="1236"/>
      <c r="T21" s="1231"/>
      <c r="U21" s="1231"/>
      <c r="V21" s="1231"/>
      <c r="W21" s="1230"/>
      <c r="X21" s="1230"/>
      <c r="Y21" s="1230"/>
      <c r="Z21" s="1237"/>
      <c r="AA21" s="1237"/>
      <c r="AB21" s="1237"/>
      <c r="AC21" s="1237"/>
      <c r="AD21" s="1237"/>
      <c r="AE21" s="1237"/>
      <c r="AF21" s="1237"/>
      <c r="AG21" s="2965"/>
      <c r="AH21" s="2965"/>
      <c r="AI21" s="2965"/>
      <c r="AJ21" s="2965"/>
    </row>
    <row r="22" spans="1:37" s="2149" customFormat="1" ht="14.25">
      <c r="A22" s="2088" t="s">
        <v>2483</v>
      </c>
      <c r="B22" s="2215" t="s">
        <v>2484</v>
      </c>
      <c r="C22" s="1484" t="s">
        <v>2485</v>
      </c>
      <c r="D22" s="1484" t="e">
        <f>IF(E22=G22,F22,IF(G3&lt;=10,ROUND(F22+(H22-F22)*(G3-E22)/(G22-E22),4),"——"))</f>
        <v>#DIV/0!</v>
      </c>
      <c r="E22" s="834" t="e">
        <f>ROUNDDOWN(G3,1)</f>
        <v>#DIV/0!</v>
      </c>
      <c r="F22" s="14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4" t="e">
        <f>ROUNDUP(G3,1)</f>
        <v>#DIV/0!</v>
      </c>
      <c r="H22" s="14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4" t="s">
        <v>155</v>
      </c>
      <c r="J22" s="855" t="e">
        <f>IF(G3&gt;10,D113,"——")</f>
        <v>#DIV/0!</v>
      </c>
      <c r="K22" s="1237"/>
      <c r="L22" s="2965"/>
      <c r="M22" s="2965"/>
      <c r="N22" s="2214" t="s">
        <v>2486</v>
      </c>
      <c r="O22" s="1285"/>
      <c r="P22" s="1286">
        <f>SUMPRODUCT((地价!A3:A37=YEAR(G19)&amp;"-"&amp;ROUNDUP(MONTH(G19)/3,0))*(地价!AD2:AH2=N22)*(地价!AD3:AH37))</f>
        <v>0</v>
      </c>
      <c r="Q22" s="2965"/>
      <c r="R22" s="1236"/>
      <c r="S22" s="1236"/>
      <c r="T22" s="1231"/>
      <c r="U22" s="1231"/>
      <c r="V22" s="1231"/>
      <c r="W22" s="1230"/>
      <c r="X22" s="1230"/>
      <c r="Y22" s="1230"/>
      <c r="Z22" s="1237"/>
      <c r="AA22" s="1237"/>
      <c r="AB22" s="1237"/>
      <c r="AC22" s="1237"/>
      <c r="AD22" s="1237"/>
      <c r="AE22" s="1237"/>
      <c r="AF22" s="1237"/>
      <c r="AG22" s="2965"/>
      <c r="AH22" s="2965"/>
      <c r="AI22" s="2965"/>
      <c r="AJ22" s="2965"/>
    </row>
    <row r="23" spans="1:37" ht="27.75" thickBot="1">
      <c r="A23" s="2088" t="s">
        <v>2487</v>
      </c>
      <c r="B23" s="2216" t="s">
        <v>2488</v>
      </c>
      <c r="C23" s="928" t="e">
        <f>ROUND(IF(G3&gt;1,IF(I3&lt;7,SUMPRODUCT((B93:B98=I3)*(C92:N92=G2)*(C93:N98)),SUMIF(C92:N92,G2,C100:N100)),IF(I3&lt;7,SUMPRODUCT((B102:B107=I3)*(C92:N92=G2)*(C102:N107)),SUMIF(C92:N92,G2,C109:N109))),4)</f>
        <v>#DIV/0!</v>
      </c>
      <c r="D23" s="2184"/>
      <c r="E23" s="2184"/>
      <c r="F23" s="2217"/>
      <c r="G23" s="2218"/>
      <c r="H23" s="2219"/>
      <c r="I23" s="2220"/>
      <c r="J23" s="2221"/>
      <c r="K23" s="1230"/>
      <c r="L23" s="2130"/>
      <c r="M23" s="2130"/>
      <c r="N23" s="2214" t="s">
        <v>2489</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2490</v>
      </c>
      <c r="C24" s="842">
        <f>SUMIF(A45:A88,E2,B45:B88)</f>
        <v>0</v>
      </c>
      <c r="D24" s="2195"/>
      <c r="E24" s="2222"/>
      <c r="F24" s="2222"/>
      <c r="G24" s="2222"/>
      <c r="H24" s="2222"/>
      <c r="I24" s="2222"/>
      <c r="J24" s="2223"/>
      <c r="K24" s="1237"/>
      <c r="L24" s="2965"/>
      <c r="M24" s="2965"/>
      <c r="N24" s="2224" t="s">
        <v>2491</v>
      </c>
      <c r="O24" s="1287"/>
      <c r="P24" s="1288">
        <f>SUMPRODUCT((地价!A3:A37=YEAR(G19)&amp;"-"&amp;ROUNDUP(MONTH(G19)/3,0))*(地价!AD2:AH2=N24)*(地价!AD3:AH37))</f>
        <v>0</v>
      </c>
      <c r="Q24" s="2965"/>
      <c r="R24" s="1236"/>
      <c r="S24" s="1236"/>
      <c r="T24" s="1231"/>
      <c r="U24" s="1231"/>
      <c r="V24" s="1231"/>
      <c r="W24" s="1230"/>
      <c r="X24" s="1230"/>
      <c r="Y24" s="1230"/>
      <c r="Z24" s="1237"/>
      <c r="AA24" s="1237"/>
      <c r="AB24" s="1237"/>
      <c r="AC24" s="1237"/>
      <c r="AD24" s="1237"/>
      <c r="AE24" s="1237"/>
      <c r="AF24" s="1237"/>
      <c r="AG24" s="2965"/>
      <c r="AH24" s="2965"/>
      <c r="AI24" s="2965"/>
      <c r="AJ24" s="2965"/>
    </row>
    <row r="25" spans="1:37" ht="15.75" thickBot="1">
      <c r="A25" s="2203" t="s">
        <v>632</v>
      </c>
      <c r="B25" s="2225" t="s">
        <v>2492</v>
      </c>
      <c r="C25" s="848"/>
      <c r="D25" s="2159"/>
      <c r="E25" s="2159"/>
      <c r="F25" s="2226"/>
      <c r="G25" s="2159"/>
      <c r="H25" s="2159"/>
      <c r="I25" s="2159"/>
      <c r="J25" s="2160"/>
      <c r="K25" s="1230"/>
      <c r="L25" s="2130"/>
      <c r="M25" s="2130"/>
      <c r="N25" s="2960" t="s">
        <v>2493</v>
      </c>
      <c r="O25" s="2961"/>
      <c r="P25" s="2962">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2494</v>
      </c>
      <c r="C26" s="2489" t="e">
        <f>IF(B21="容积率修正",E29+SUM(E33:E39),SUM(V2:V16)+SUM(E33:E39))</f>
        <v>#DIV/0!</v>
      </c>
      <c r="D26" s="2228"/>
      <c r="E26" s="2184"/>
      <c r="F26" s="2229"/>
      <c r="G26" s="2184"/>
      <c r="H26" s="2184"/>
      <c r="I26" s="2184"/>
      <c r="J26" s="2230"/>
      <c r="K26" s="1230"/>
      <c r="L26" s="2963" t="s">
        <v>2392</v>
      </c>
      <c r="M26" s="2157" t="s">
        <v>2457</v>
      </c>
      <c r="N26" s="2157" t="s">
        <v>2458</v>
      </c>
      <c r="O26" s="2157" t="s">
        <v>2459</v>
      </c>
      <c r="P26" s="2964" t="s">
        <v>2460</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2495</v>
      </c>
      <c r="C27" s="849" t="e">
        <f>E30+SUM(I33:I39)</f>
        <v>#DIV/0!</v>
      </c>
      <c r="D27" s="2232"/>
      <c r="E27" s="2233"/>
      <c r="F27" s="2234"/>
      <c r="G27" s="2233"/>
      <c r="H27" s="2233"/>
      <c r="I27" s="2233"/>
      <c r="J27" s="2235"/>
      <c r="K27" s="1230"/>
      <c r="L27" s="2190" t="s">
        <v>2464</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2496</v>
      </c>
      <c r="C28" s="2238" t="s">
        <v>2497</v>
      </c>
      <c r="D28" s="2238" t="s">
        <v>2498</v>
      </c>
      <c r="E28" s="2239" t="s">
        <v>2499</v>
      </c>
      <c r="F28" s="2240"/>
      <c r="G28" s="2172"/>
      <c r="H28" s="2172"/>
      <c r="I28" s="2172"/>
      <c r="J28" s="2173"/>
      <c r="K28" s="1230"/>
      <c r="L28" s="2191" t="s">
        <v>2467</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2500</v>
      </c>
      <c r="C29" s="180" t="e">
        <f>ROUND(C5*C18*C19*C20*C21*C24,0)</f>
        <v>#DIV/0!</v>
      </c>
      <c r="D29" s="2243"/>
      <c r="E29" s="857" t="e">
        <f>ROUND(C29*D29/10000,0)</f>
        <v>#DIV/0!</v>
      </c>
      <c r="F29" s="2244" t="s">
        <v>2501</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2502</v>
      </c>
      <c r="C30" s="193" t="e">
        <f>ROUND(IF(E2="工业",C29*M39,C29*M38),0)</f>
        <v>#DIV/0!</v>
      </c>
      <c r="D30" s="2249"/>
      <c r="E30" s="857" t="e">
        <f>ROUND(C30*D30/10000,0)</f>
        <v>#DIV/0!</v>
      </c>
      <c r="F30" s="2250" t="s">
        <v>2503</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2504</v>
      </c>
      <c r="C31" s="2255" t="s">
        <v>2505</v>
      </c>
      <c r="D31" s="2172"/>
      <c r="E31" s="2255"/>
      <c r="F31" s="2255"/>
      <c r="G31" s="2170" t="s">
        <v>2506</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2497</v>
      </c>
      <c r="D32" s="455" t="s">
        <v>2498</v>
      </c>
      <c r="E32" s="455" t="s">
        <v>2499</v>
      </c>
      <c r="F32" s="348" t="s">
        <v>2507</v>
      </c>
      <c r="G32" s="2258" t="s">
        <v>2497</v>
      </c>
      <c r="H32" s="2258" t="s">
        <v>2498</v>
      </c>
      <c r="I32" s="2258" t="s">
        <v>2499</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578"/>
      <c r="B33" s="2259" t="s">
        <v>2508</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583" t="s">
        <v>2810</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579"/>
      <c r="B34" s="2176" t="s">
        <v>2509</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579"/>
      <c r="B35" s="2176" t="s">
        <v>2510</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579"/>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580"/>
      <c r="B36" s="2176" t="s">
        <v>2511</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580"/>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2512</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2513</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2514</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2515</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2516</v>
      </c>
      <c r="C39" s="193" t="e">
        <f>ROUND(D5*C19*C41*C24*F39,0)</f>
        <v>#DIV/0!</v>
      </c>
      <c r="D39" s="2249"/>
      <c r="E39" s="193" t="e">
        <f t="shared" si="7"/>
        <v>#DIV/0!</v>
      </c>
      <c r="F39" s="850">
        <f>SUMIF(修正!A57:A68,G2,修正!G57:G68)</f>
        <v>0</v>
      </c>
      <c r="G39" s="193" t="e">
        <f>ROUND(IF(E2="工业",C39*$M$39,C39*$M$38),0)</f>
        <v>#DIV/0!</v>
      </c>
      <c r="H39" s="193">
        <f t="shared" si="8"/>
        <v>0</v>
      </c>
      <c r="I39" s="193" t="e">
        <f t="shared" si="9"/>
        <v>#DIV/0!</v>
      </c>
      <c r="J39" s="2266"/>
      <c r="K39" s="1230"/>
      <c r="L39" s="2267" t="s">
        <v>2460</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2621</v>
      </c>
      <c r="C41" s="348" t="e">
        <f>ROUND(POWER(1+E41,H41-G41)*(POWER(1+E41,G41)-1)/(POWER(1+E41,H41)-1),4)</f>
        <v>#DIV/0!</v>
      </c>
      <c r="D41" s="176" t="s">
        <v>2467</v>
      </c>
      <c r="E41" s="2316">
        <f>G20</f>
        <v>0</v>
      </c>
      <c r="F41" s="176" t="s">
        <v>2476</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2517</v>
      </c>
      <c r="B45" s="2271"/>
      <c r="C45" s="7"/>
      <c r="D45" s="7"/>
      <c r="E45" s="7"/>
      <c r="F45" s="6"/>
      <c r="G45" s="6"/>
      <c r="H45" s="6"/>
      <c r="I45" s="1954"/>
      <c r="J45" s="1954"/>
      <c r="K45" s="1954"/>
      <c r="L45" s="1954"/>
      <c r="M45" s="1954"/>
      <c r="Z45" s="1231"/>
      <c r="AA45" s="1231"/>
      <c r="AB45" s="1231"/>
      <c r="AC45" s="1231"/>
      <c r="AD45" s="1231"/>
      <c r="AE45" s="1231"/>
      <c r="AF45" s="1231"/>
      <c r="AG45" s="1231"/>
      <c r="AH45" s="1231"/>
      <c r="AI45" s="1231"/>
      <c r="AJ45" s="1231"/>
    </row>
    <row r="46" spans="1:37" s="1230" customFormat="1" ht="15">
      <c r="A46" s="2272" t="s">
        <v>2518</v>
      </c>
      <c r="B46" s="2273">
        <f>1+E48</f>
        <v>1</v>
      </c>
      <c r="C46" s="2274"/>
      <c r="D46" s="750"/>
      <c r="E46" s="751"/>
      <c r="F46" s="2275"/>
      <c r="G46" s="6"/>
      <c r="H46" s="7"/>
      <c r="I46" s="1954"/>
      <c r="J46" s="1954"/>
      <c r="K46" s="1954"/>
      <c r="L46" s="1954"/>
      <c r="M46" s="1954"/>
      <c r="Z46" s="1231"/>
      <c r="AA46" s="1231"/>
      <c r="AB46" s="1231"/>
      <c r="AC46" s="1231"/>
      <c r="AD46" s="1231"/>
      <c r="AE46" s="1231"/>
      <c r="AF46" s="1231"/>
      <c r="AG46" s="1231"/>
      <c r="AH46" s="1231"/>
      <c r="AI46" s="1231"/>
      <c r="AJ46" s="1231"/>
    </row>
    <row r="47" spans="1:37" s="1230" customFormat="1" ht="24.75">
      <c r="A47" s="2276" t="s">
        <v>2519</v>
      </c>
      <c r="B47" s="1483" t="s">
        <v>2520</v>
      </c>
      <c r="C47" s="1483" t="s">
        <v>2521</v>
      </c>
      <c r="D47" s="1483" t="s">
        <v>2522</v>
      </c>
      <c r="E47" s="755" t="s">
        <v>2523</v>
      </c>
      <c r="F47" s="2277" t="s">
        <v>2524</v>
      </c>
      <c r="G47" s="1483" t="s">
        <v>574</v>
      </c>
      <c r="H47" s="2278" t="s">
        <v>2525</v>
      </c>
      <c r="I47" s="1483" t="s">
        <v>2526</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38.25">
      <c r="A48" s="2276" t="s">
        <v>2527</v>
      </c>
      <c r="B48" s="2279" t="str">
        <f>估价对象房地状况!C4</f>
        <v>估价对象位于XX商圈，周边商业氛围成熟，人流量大，商业繁华度好</v>
      </c>
      <c r="C48" s="2181"/>
      <c r="D48" s="1174">
        <f t="shared" ref="D48:D56" si="10">SUMIF($J$47:$N$47,C48,J48:N48)</f>
        <v>0</v>
      </c>
      <c r="E48" s="757">
        <f>ROUND(SUM(D48:D56),4)</f>
        <v>0</v>
      </c>
      <c r="F48" s="1947"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6" t="s">
        <v>2528</v>
      </c>
      <c r="B49" s="2280" t="str">
        <f>估价对象房地状况!C18</f>
        <v>估价对象周边道路状况、公共交通通达情况、停车便捷程度，综合评价交通便捷度较好</v>
      </c>
      <c r="C49" s="2181"/>
      <c r="D49" s="1174">
        <f t="shared" si="10"/>
        <v>0</v>
      </c>
      <c r="E49" s="758"/>
      <c r="F49" s="1947"/>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2529</v>
      </c>
      <c r="B50" s="2280">
        <f>估价对象房地状况!C19</f>
        <v>0</v>
      </c>
      <c r="C50" s="2181"/>
      <c r="D50" s="1174">
        <f t="shared" si="10"/>
        <v>0</v>
      </c>
      <c r="E50" s="758"/>
      <c r="F50" s="1947"/>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2530</v>
      </c>
      <c r="B51" s="2281" t="s">
        <v>2531</v>
      </c>
      <c r="C51" s="2181"/>
      <c r="D51" s="1174">
        <f t="shared" si="10"/>
        <v>0</v>
      </c>
      <c r="E51" s="758"/>
      <c r="F51" s="1947"/>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2532</v>
      </c>
      <c r="B52" s="2280">
        <f>估价对象房地状况!C24</f>
        <v>0</v>
      </c>
      <c r="C52" s="2181"/>
      <c r="D52" s="1174">
        <f t="shared" si="10"/>
        <v>0</v>
      </c>
      <c r="E52" s="758"/>
      <c r="F52" s="1947"/>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2533</v>
      </c>
      <c r="B53" s="2282" t="s">
        <v>2534</v>
      </c>
      <c r="C53" s="2181"/>
      <c r="D53" s="1174">
        <f t="shared" si="10"/>
        <v>0</v>
      </c>
      <c r="E53" s="758"/>
      <c r="F53" s="1947"/>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3" t="s">
        <v>2535</v>
      </c>
      <c r="B54" s="1444" t="str">
        <f>估价对象房地状况!C21</f>
        <v>估价对象所在区域公共配套设施齐备情况</v>
      </c>
      <c r="C54" s="2181"/>
      <c r="D54" s="1174">
        <f t="shared" si="10"/>
        <v>0</v>
      </c>
      <c r="E54" s="758"/>
      <c r="F54" s="1947"/>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3" t="s">
        <v>2536</v>
      </c>
      <c r="B55" s="2280" t="str">
        <f>估价对象房地状况!C22</f>
        <v>估价对象所在区域基础设施水平</v>
      </c>
      <c r="C55" s="2181"/>
      <c r="D55" s="1174">
        <f t="shared" si="10"/>
        <v>0</v>
      </c>
      <c r="E55" s="758"/>
      <c r="F55" s="1947"/>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4" t="s">
        <v>2537</v>
      </c>
      <c r="B56" s="2285" t="str">
        <f>估价对象房地状况!C20</f>
        <v>区域自然环境：；人文环境；综合评价环境状况一般</v>
      </c>
      <c r="C56" s="2181"/>
      <c r="D56" s="1174">
        <f t="shared" si="10"/>
        <v>0</v>
      </c>
      <c r="E56" s="761"/>
      <c r="F56" s="1947"/>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2538</v>
      </c>
      <c r="B57" s="2273">
        <f>1+E59</f>
        <v>1</v>
      </c>
      <c r="C57" s="750"/>
      <c r="D57" s="750"/>
      <c r="E57" s="751"/>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2519</v>
      </c>
      <c r="B58" s="1483"/>
      <c r="C58" s="1483" t="s">
        <v>2521</v>
      </c>
      <c r="D58" s="1483" t="s">
        <v>2522</v>
      </c>
      <c r="E58" s="755" t="s">
        <v>2523</v>
      </c>
      <c r="F58" s="2277" t="s">
        <v>2539</v>
      </c>
      <c r="G58" s="1483" t="s">
        <v>574</v>
      </c>
      <c r="H58" s="2278" t="s">
        <v>2525</v>
      </c>
      <c r="I58" s="1483" t="s">
        <v>2526</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38.25">
      <c r="A59" s="2276" t="s">
        <v>2540</v>
      </c>
      <c r="B59" s="2279" t="str">
        <f>估价对象房地状况!C17</f>
        <v>估价对象位于XX商圈，周边办公楼项目较多，入驻率高，办公集聚程度较好</v>
      </c>
      <c r="C59" s="2181"/>
      <c r="D59" s="1174">
        <f t="shared" ref="D59:D67" si="15">SUMIF($J$58:$N$58,C59,J59:N59)</f>
        <v>0</v>
      </c>
      <c r="E59" s="757">
        <f>ROUND(SUM(D59:D67),4)</f>
        <v>0</v>
      </c>
      <c r="F59" s="1947"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6" t="s">
        <v>2528</v>
      </c>
      <c r="B60" s="2280" t="str">
        <f>估价对象房地状况!C18</f>
        <v>估价对象周边道路状况、公共交通通达情况、停车便捷程度，综合评价交通便捷度较好</v>
      </c>
      <c r="C60" s="2181"/>
      <c r="D60" s="1174">
        <f t="shared" si="15"/>
        <v>0</v>
      </c>
      <c r="E60" s="758"/>
      <c r="F60" s="1947"/>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2529</v>
      </c>
      <c r="B61" s="2280">
        <f>估价对象房地状况!C19</f>
        <v>0</v>
      </c>
      <c r="C61" s="2181"/>
      <c r="D61" s="1174">
        <f t="shared" si="15"/>
        <v>0</v>
      </c>
      <c r="E61" s="758"/>
      <c r="F61" s="1947"/>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2530</v>
      </c>
      <c r="B62" s="2281" t="s">
        <v>2531</v>
      </c>
      <c r="C62" s="2181"/>
      <c r="D62" s="1174">
        <f t="shared" si="15"/>
        <v>0</v>
      </c>
      <c r="E62" s="758"/>
      <c r="F62" s="1947"/>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2532</v>
      </c>
      <c r="B63" s="2280">
        <f>估价对象房地状况!C24</f>
        <v>0</v>
      </c>
      <c r="C63" s="2181"/>
      <c r="D63" s="1174">
        <f t="shared" si="15"/>
        <v>0</v>
      </c>
      <c r="E63" s="758"/>
      <c r="F63" s="1947"/>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2533</v>
      </c>
      <c r="B64" s="2282" t="s">
        <v>2534</v>
      </c>
      <c r="C64" s="2181"/>
      <c r="D64" s="1174">
        <f t="shared" si="15"/>
        <v>0</v>
      </c>
      <c r="E64" s="758"/>
      <c r="F64" s="1947"/>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6" t="s">
        <v>2535</v>
      </c>
      <c r="B65" s="1444" t="str">
        <f>估价对象房地状况!C21</f>
        <v>估价对象所在区域公共配套设施齐备情况</v>
      </c>
      <c r="C65" s="2181"/>
      <c r="D65" s="1174">
        <f t="shared" si="15"/>
        <v>0</v>
      </c>
      <c r="E65" s="758"/>
      <c r="F65" s="1947"/>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6" t="s">
        <v>2536</v>
      </c>
      <c r="B66" s="1444" t="str">
        <f>估价对象房地状况!C22</f>
        <v>估价对象所在区域基础设施水平</v>
      </c>
      <c r="C66" s="2181"/>
      <c r="D66" s="1174">
        <f t="shared" si="15"/>
        <v>0</v>
      </c>
      <c r="E66" s="758"/>
      <c r="F66" s="1947"/>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4" t="s">
        <v>2537</v>
      </c>
      <c r="B67" s="2286" t="str">
        <f>估价对象房地状况!C20</f>
        <v>区域自然环境：；人文环境；综合评价环境状况一般</v>
      </c>
      <c r="C67" s="2181"/>
      <c r="D67" s="1174">
        <f t="shared" si="15"/>
        <v>0</v>
      </c>
      <c r="E67" s="761"/>
      <c r="F67" s="1947"/>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2541</v>
      </c>
      <c r="B68" s="2273">
        <f>1+E70</f>
        <v>1</v>
      </c>
      <c r="C68" s="750"/>
      <c r="D68" s="750"/>
      <c r="E68" s="751"/>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2519</v>
      </c>
      <c r="B69" s="1483"/>
      <c r="C69" s="1483" t="s">
        <v>2521</v>
      </c>
      <c r="D69" s="1483" t="s">
        <v>2522</v>
      </c>
      <c r="E69" s="755" t="s">
        <v>2523</v>
      </c>
      <c r="F69" s="2277" t="s">
        <v>2539</v>
      </c>
      <c r="G69" s="1483" t="s">
        <v>574</v>
      </c>
      <c r="H69" s="2278" t="s">
        <v>2525</v>
      </c>
      <c r="I69" s="1483" t="s">
        <v>2526</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51">
      <c r="A70" s="2276" t="s">
        <v>2542</v>
      </c>
      <c r="B70" s="2279" t="str">
        <f>估价对象房地状况!C15</f>
        <v>估价对象周边居住用地比例、居住小区规模和社区发展完善程度，综合评价居住社区成熟度一般</v>
      </c>
      <c r="C70" s="2181"/>
      <c r="D70" s="1174">
        <f t="shared" ref="D70:D78" si="20">SUMIF($J$69:$N$69,C70,J70:N70)</f>
        <v>0</v>
      </c>
      <c r="E70" s="757">
        <f>ROUND(SUM(D70:D78),4)</f>
        <v>0</v>
      </c>
      <c r="F70" s="1947"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6" t="s">
        <v>2528</v>
      </c>
      <c r="B71" s="2280" t="str">
        <f>估价对象房地状况!C18</f>
        <v>估价对象周边道路状况、公共交通通达情况、停车便捷程度，综合评价交通便捷度较好</v>
      </c>
      <c r="C71" s="2181"/>
      <c r="D71" s="1174">
        <f t="shared" si="20"/>
        <v>0</v>
      </c>
      <c r="E71" s="762"/>
      <c r="F71" s="1947"/>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2529</v>
      </c>
      <c r="B72" s="2280">
        <f>估价对象房地状况!C19</f>
        <v>0</v>
      </c>
      <c r="C72" s="2181"/>
      <c r="D72" s="1174">
        <f t="shared" si="20"/>
        <v>0</v>
      </c>
      <c r="E72" s="762"/>
      <c r="F72" s="1947"/>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2543</v>
      </c>
      <c r="B73" s="2280">
        <f>估价对象房地状况!C24</f>
        <v>0</v>
      </c>
      <c r="C73" s="2181"/>
      <c r="D73" s="1174">
        <f t="shared" si="20"/>
        <v>0</v>
      </c>
      <c r="E73" s="762"/>
      <c r="F73" s="1947"/>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6" t="s">
        <v>2535</v>
      </c>
      <c r="B74" s="1444" t="str">
        <f>估价对象房地状况!C21</f>
        <v>估价对象所在区域公共配套设施齐备情况</v>
      </c>
      <c r="C74" s="2181"/>
      <c r="D74" s="1174">
        <f t="shared" si="20"/>
        <v>0</v>
      </c>
      <c r="E74" s="762"/>
      <c r="F74" s="1947"/>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6" t="s">
        <v>2536</v>
      </c>
      <c r="B75" s="1444" t="str">
        <f>估价对象房地状况!C22</f>
        <v>估价对象所在区域基础设施水平</v>
      </c>
      <c r="C75" s="2181"/>
      <c r="D75" s="1174">
        <f t="shared" si="20"/>
        <v>0</v>
      </c>
      <c r="E75" s="762"/>
      <c r="F75" s="1947"/>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2533</v>
      </c>
      <c r="B76" s="2282" t="s">
        <v>2534</v>
      </c>
      <c r="C76" s="2181"/>
      <c r="D76" s="1174">
        <f t="shared" si="20"/>
        <v>0</v>
      </c>
      <c r="E76" s="762"/>
      <c r="F76" s="1947"/>
      <c r="G76" s="1172"/>
      <c r="H76" s="1176" t="str">
        <f t="shared" si="21"/>
        <v>——</v>
      </c>
      <c r="I76" s="756">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38.25">
      <c r="A77" s="2276" t="s">
        <v>2537</v>
      </c>
      <c r="B77" s="2279" t="str">
        <f>估价对象房地状况!C20</f>
        <v>区域自然环境：；人文环境；综合评价环境状况一般</v>
      </c>
      <c r="C77" s="2181"/>
      <c r="D77" s="1174">
        <f t="shared" si="20"/>
        <v>0</v>
      </c>
      <c r="E77" s="762"/>
      <c r="F77" s="1947"/>
      <c r="G77" s="1172"/>
      <c r="H77" s="1176" t="str">
        <f t="shared" si="21"/>
        <v>——</v>
      </c>
      <c r="I77" s="756">
        <v>0.15</v>
      </c>
      <c r="J77" s="1173">
        <f t="shared" si="22"/>
        <v>0</v>
      </c>
      <c r="K77" s="1173">
        <f t="shared" si="23"/>
        <v>0</v>
      </c>
      <c r="L77" s="1173">
        <v>0</v>
      </c>
      <c r="M77" s="1173">
        <f t="shared" si="24"/>
        <v>0</v>
      </c>
      <c r="N77" s="1173">
        <f t="shared" si="24"/>
        <v>0</v>
      </c>
      <c r="Z77" s="2131"/>
      <c r="AA77" s="2197"/>
      <c r="AG77" s="1232"/>
      <c r="AK77" s="2197"/>
    </row>
    <row r="78" spans="1:37" ht="24.75" thickBot="1">
      <c r="A78" s="2284" t="s">
        <v>2544</v>
      </c>
      <c r="B78" s="2288"/>
      <c r="C78" s="2181"/>
      <c r="D78" s="1174">
        <f t="shared" si="20"/>
        <v>0</v>
      </c>
      <c r="E78" s="763"/>
      <c r="F78" s="1947"/>
      <c r="G78" s="1172"/>
      <c r="H78" s="1176" t="str">
        <f t="shared" si="21"/>
        <v>——</v>
      </c>
      <c r="I78" s="760">
        <v>0.04</v>
      </c>
      <c r="J78" s="1173">
        <f t="shared" si="22"/>
        <v>0</v>
      </c>
      <c r="K78" s="1173">
        <f t="shared" si="23"/>
        <v>0</v>
      </c>
      <c r="L78" s="1173">
        <v>0</v>
      </c>
      <c r="M78" s="1173">
        <f t="shared" si="24"/>
        <v>0</v>
      </c>
      <c r="N78" s="1173">
        <f t="shared" si="24"/>
        <v>0</v>
      </c>
      <c r="Z78" s="2131"/>
      <c r="AA78" s="2197"/>
      <c r="AG78" s="1232"/>
      <c r="AK78" s="2197"/>
    </row>
    <row r="79" spans="1:37" ht="15">
      <c r="A79" s="2272" t="s">
        <v>2545</v>
      </c>
      <c r="B79" s="2273">
        <f>1+E81</f>
        <v>1</v>
      </c>
      <c r="C79" s="750"/>
      <c r="D79" s="750"/>
      <c r="E79" s="751"/>
      <c r="F79" s="2275"/>
      <c r="G79" s="6"/>
      <c r="H79" s="6"/>
      <c r="I79" s="6"/>
      <c r="J79" s="7"/>
      <c r="K79" s="7"/>
      <c r="L79" s="7"/>
      <c r="M79" s="7"/>
      <c r="N79" s="7"/>
      <c r="Z79" s="2131"/>
      <c r="AA79" s="2197"/>
      <c r="AG79" s="1232"/>
      <c r="AK79" s="2197"/>
    </row>
    <row r="80" spans="1:37" ht="24.75">
      <c r="A80" s="2276" t="s">
        <v>2519</v>
      </c>
      <c r="B80" s="1483"/>
      <c r="C80" s="1483" t="s">
        <v>2521</v>
      </c>
      <c r="D80" s="1483" t="s">
        <v>2522</v>
      </c>
      <c r="E80" s="755" t="s">
        <v>2523</v>
      </c>
      <c r="F80" s="2277" t="s">
        <v>2539</v>
      </c>
      <c r="G80" s="1483" t="s">
        <v>574</v>
      </c>
      <c r="H80" s="2278" t="s">
        <v>2525</v>
      </c>
      <c r="I80" s="1483" t="s">
        <v>2526</v>
      </c>
      <c r="J80" s="560" t="s">
        <v>2177</v>
      </c>
      <c r="K80" s="560" t="s">
        <v>2178</v>
      </c>
      <c r="L80" s="560" t="s">
        <v>2179</v>
      </c>
      <c r="M80" s="560" t="s">
        <v>2180</v>
      </c>
      <c r="N80" s="560" t="s">
        <v>2181</v>
      </c>
      <c r="Z80" s="2131"/>
      <c r="AA80" s="2197"/>
      <c r="AG80" s="1232"/>
      <c r="AK80" s="2197"/>
    </row>
    <row r="81" spans="1:37" ht="38.25">
      <c r="A81" s="2276" t="s">
        <v>2546</v>
      </c>
      <c r="B81" s="2280" t="str">
        <f>估价对象房地状况!G15</f>
        <v>估价对象位于XX开发区，园区建设成熟度XX，产业集聚程度XX</v>
      </c>
      <c r="C81" s="2181"/>
      <c r="D81" s="1174">
        <f t="shared" ref="D81:D88" si="25">SUMIF($J$80:$N$80,C81,J81:N81)</f>
        <v>0</v>
      </c>
      <c r="E81" s="757">
        <f>ROUND(SUM(D81:D88),4)</f>
        <v>0</v>
      </c>
      <c r="F81" s="1947"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2528</v>
      </c>
      <c r="B82" s="2280" t="str">
        <f>估价对象房地状况!G16</f>
        <v>估价对象周边道路状况、公共交通通达情况、停车便捷程度，综合评价交通便捷度较好</v>
      </c>
      <c r="C82" s="2181"/>
      <c r="D82" s="1174">
        <f t="shared" si="25"/>
        <v>0</v>
      </c>
      <c r="E82" s="762"/>
      <c r="F82" s="1947"/>
      <c r="G82" s="1172"/>
      <c r="H82" s="1176" t="str">
        <f t="shared" si="26"/>
        <v>——</v>
      </c>
      <c r="I82" s="756">
        <v>0.33</v>
      </c>
      <c r="J82" s="1173">
        <f t="shared" si="27"/>
        <v>0</v>
      </c>
      <c r="K82" s="1173">
        <f t="shared" si="28"/>
        <v>0</v>
      </c>
      <c r="L82" s="1173">
        <v>0</v>
      </c>
      <c r="M82" s="1173">
        <f t="shared" si="29"/>
        <v>0</v>
      </c>
      <c r="N82" s="1173">
        <f t="shared" si="29"/>
        <v>0</v>
      </c>
      <c r="Z82" s="2131"/>
      <c r="AA82" s="2197"/>
      <c r="AG82" s="1232"/>
      <c r="AK82" s="2197"/>
    </row>
    <row r="83" spans="1:37" ht="24">
      <c r="A83" s="2276" t="s">
        <v>2529</v>
      </c>
      <c r="B83" s="2280">
        <f>估价对象房地状况!G17</f>
        <v>0</v>
      </c>
      <c r="C83" s="2181"/>
      <c r="D83" s="1174">
        <f t="shared" si="25"/>
        <v>0</v>
      </c>
      <c r="E83" s="762"/>
      <c r="F83" s="1947"/>
      <c r="G83" s="1172"/>
      <c r="H83" s="1176" t="str">
        <f t="shared" si="26"/>
        <v>——</v>
      </c>
      <c r="I83" s="756">
        <v>0.05</v>
      </c>
      <c r="J83" s="1173">
        <f t="shared" si="27"/>
        <v>0</v>
      </c>
      <c r="K83" s="1173">
        <f t="shared" si="28"/>
        <v>0</v>
      </c>
      <c r="L83" s="1173">
        <v>0</v>
      </c>
      <c r="M83" s="1173">
        <f t="shared" si="29"/>
        <v>0</v>
      </c>
      <c r="N83" s="1173">
        <f t="shared" si="29"/>
        <v>0</v>
      </c>
      <c r="Z83" s="2131"/>
      <c r="AA83" s="2197"/>
      <c r="AG83" s="1232"/>
      <c r="AK83" s="2197"/>
    </row>
    <row r="84" spans="1:37" ht="14.25">
      <c r="A84" s="2276" t="s">
        <v>2543</v>
      </c>
      <c r="B84" s="2280">
        <f>估价对象房地状况!G22</f>
        <v>0</v>
      </c>
      <c r="C84" s="2181"/>
      <c r="D84" s="1174">
        <f t="shared" si="25"/>
        <v>0</v>
      </c>
      <c r="E84" s="762"/>
      <c r="F84" s="1947"/>
      <c r="G84" s="1172"/>
      <c r="H84" s="1176" t="str">
        <f t="shared" si="26"/>
        <v>——</v>
      </c>
      <c r="I84" s="756">
        <v>0.04</v>
      </c>
      <c r="J84" s="1173">
        <f t="shared" si="27"/>
        <v>0</v>
      </c>
      <c r="K84" s="1173">
        <f t="shared" si="28"/>
        <v>0</v>
      </c>
      <c r="L84" s="1173">
        <v>0</v>
      </c>
      <c r="M84" s="1173">
        <f t="shared" si="29"/>
        <v>0</v>
      </c>
      <c r="N84" s="1173">
        <f t="shared" si="29"/>
        <v>0</v>
      </c>
      <c r="Z84" s="2131"/>
      <c r="AA84" s="2197"/>
      <c r="AG84" s="1232"/>
      <c r="AK84" s="2197"/>
    </row>
    <row r="85" spans="1:37" ht="25.5">
      <c r="A85" s="2276" t="s">
        <v>2535</v>
      </c>
      <c r="B85" s="1444" t="str">
        <f>估价对象房地状况!G19</f>
        <v>估价对象所在区域公共配套设施齐备情况</v>
      </c>
      <c r="C85" s="2181"/>
      <c r="D85" s="1174">
        <f t="shared" si="25"/>
        <v>0</v>
      </c>
      <c r="E85" s="762"/>
      <c r="F85" s="1947"/>
      <c r="G85" s="1172"/>
      <c r="H85" s="1176" t="str">
        <f t="shared" si="26"/>
        <v>——</v>
      </c>
      <c r="I85" s="756">
        <v>0.06</v>
      </c>
      <c r="J85" s="1173">
        <f t="shared" si="27"/>
        <v>0</v>
      </c>
      <c r="K85" s="1173">
        <f t="shared" si="28"/>
        <v>0</v>
      </c>
      <c r="L85" s="1173">
        <v>0</v>
      </c>
      <c r="M85" s="1173">
        <f t="shared" si="29"/>
        <v>0</v>
      </c>
      <c r="N85" s="1173">
        <f t="shared" si="29"/>
        <v>0</v>
      </c>
      <c r="Z85" s="2131"/>
      <c r="AA85" s="2197"/>
      <c r="AG85" s="1232"/>
      <c r="AK85" s="2197"/>
    </row>
    <row r="86" spans="1:37" ht="25.5">
      <c r="A86" s="2276" t="s">
        <v>2536</v>
      </c>
      <c r="B86" s="1444" t="str">
        <f>估价对象房地状况!G20</f>
        <v>估价对象所在区域基础设施水平</v>
      </c>
      <c r="C86" s="2181"/>
      <c r="D86" s="1174">
        <f t="shared" si="25"/>
        <v>0</v>
      </c>
      <c r="E86" s="762"/>
      <c r="F86" s="1947"/>
      <c r="G86" s="1172"/>
      <c r="H86" s="1176" t="str">
        <f t="shared" si="26"/>
        <v>——</v>
      </c>
      <c r="I86" s="756">
        <v>0.15</v>
      </c>
      <c r="J86" s="1173">
        <f t="shared" si="27"/>
        <v>0</v>
      </c>
      <c r="K86" s="1173">
        <f t="shared" si="28"/>
        <v>0</v>
      </c>
      <c r="L86" s="1173">
        <v>0</v>
      </c>
      <c r="M86" s="1173">
        <f t="shared" si="29"/>
        <v>0</v>
      </c>
      <c r="N86" s="1173">
        <f t="shared" si="29"/>
        <v>0</v>
      </c>
      <c r="Z86" s="2131"/>
      <c r="AA86" s="2197"/>
      <c r="AG86" s="1232"/>
      <c r="AK86" s="2197"/>
    </row>
    <row r="87" spans="1:37" ht="24">
      <c r="A87" s="2276" t="s">
        <v>2533</v>
      </c>
      <c r="B87" s="2282" t="s">
        <v>2547</v>
      </c>
      <c r="C87" s="2181"/>
      <c r="D87" s="1174">
        <f t="shared" si="25"/>
        <v>0</v>
      </c>
      <c r="E87" s="762"/>
      <c r="F87" s="1947"/>
      <c r="G87" s="1172"/>
      <c r="H87" s="1176" t="str">
        <f t="shared" si="26"/>
        <v>——</v>
      </c>
      <c r="I87" s="756">
        <v>0.05</v>
      </c>
      <c r="J87" s="1173">
        <f t="shared" si="27"/>
        <v>0</v>
      </c>
      <c r="K87" s="1173">
        <f t="shared" si="28"/>
        <v>0</v>
      </c>
      <c r="L87" s="1173">
        <v>0</v>
      </c>
      <c r="M87" s="1173">
        <f t="shared" si="29"/>
        <v>0</v>
      </c>
      <c r="N87" s="1173">
        <f t="shared" si="29"/>
        <v>0</v>
      </c>
      <c r="Z87" s="2131"/>
      <c r="AA87" s="2197"/>
      <c r="AG87" s="1232"/>
      <c r="AK87" s="2197"/>
    </row>
    <row r="88" spans="1:37" ht="39" thickBot="1">
      <c r="A88" s="2284" t="s">
        <v>2548</v>
      </c>
      <c r="B88" s="2289" t="str">
        <f>估价对象房地状况!G18</f>
        <v>该园区内是否有污染型企业，绿化情况，卫生条件，整体环境状况判断</v>
      </c>
      <c r="C88" s="2181"/>
      <c r="D88" s="1174">
        <f t="shared" si="25"/>
        <v>0</v>
      </c>
      <c r="E88" s="763"/>
      <c r="F88" s="1947"/>
      <c r="G88" s="1172"/>
      <c r="H88" s="1176" t="str">
        <f t="shared" si="26"/>
        <v>——</v>
      </c>
      <c r="I88" s="760">
        <v>0.06</v>
      </c>
      <c r="J88" s="1173">
        <f t="shared" si="27"/>
        <v>0</v>
      </c>
      <c r="K88" s="1173">
        <f t="shared" si="28"/>
        <v>0</v>
      </c>
      <c r="L88" s="1173">
        <v>0</v>
      </c>
      <c r="M88" s="1173">
        <f t="shared" si="29"/>
        <v>0</v>
      </c>
      <c r="N88" s="1173">
        <f t="shared" si="29"/>
        <v>0</v>
      </c>
      <c r="Z88" s="2131"/>
      <c r="AA88" s="2197"/>
      <c r="AG88" s="1232"/>
      <c r="AK88" s="2197"/>
    </row>
    <row r="90" spans="1:37">
      <c r="A90" s="3570" t="s">
        <v>2549</v>
      </c>
      <c r="B90" s="3570"/>
      <c r="C90" s="3570"/>
      <c r="D90" s="3570"/>
      <c r="E90" s="3570"/>
      <c r="F90" s="3570"/>
      <c r="G90" s="3570"/>
      <c r="H90" s="3570"/>
      <c r="I90" s="3570"/>
      <c r="J90" s="3570"/>
      <c r="K90" s="2290"/>
      <c r="L90" s="2290"/>
      <c r="M90" s="2290"/>
      <c r="N90" s="2290"/>
    </row>
    <row r="91" spans="1:37">
      <c r="A91" s="3572" t="s">
        <v>2550</v>
      </c>
      <c r="B91" s="3572" t="s">
        <v>2551</v>
      </c>
      <c r="C91" s="2244" t="s">
        <v>2552</v>
      </c>
      <c r="D91" s="2245"/>
      <c r="E91" s="2245"/>
      <c r="F91" s="2245"/>
      <c r="G91" s="2245"/>
      <c r="H91" s="2245"/>
      <c r="I91" s="2245"/>
      <c r="J91" s="2291"/>
      <c r="K91" s="2292"/>
      <c r="L91" s="2292"/>
      <c r="M91" s="2292"/>
      <c r="N91" s="2292"/>
    </row>
    <row r="92" spans="1:37">
      <c r="A92" s="3572"/>
      <c r="B92" s="3572"/>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73" t="s">
        <v>2553</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574"/>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574"/>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574"/>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574"/>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574"/>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574"/>
      <c r="B99" s="2293" t="s">
        <v>2435</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575"/>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573" t="s">
        <v>2554</v>
      </c>
      <c r="B101" s="2297" t="s">
        <v>2555</v>
      </c>
      <c r="C101" s="2298" t="e">
        <f>$G$3</f>
        <v>#DIV/0!</v>
      </c>
      <c r="D101" s="2298" t="e">
        <f t="shared" ref="D101:N101" si="31">$G$3</f>
        <v>#DIV/0!</v>
      </c>
      <c r="E101" s="2298" t="e">
        <f t="shared" si="31"/>
        <v>#DIV/0!</v>
      </c>
      <c r="F101" s="2298" t="e">
        <f t="shared" si="31"/>
        <v>#DIV/0!</v>
      </c>
      <c r="G101" s="2298" t="e">
        <f t="shared" si="31"/>
        <v>#DIV/0!</v>
      </c>
      <c r="H101" s="2298" t="e">
        <f t="shared" si="31"/>
        <v>#DIV/0!</v>
      </c>
      <c r="I101" s="2298" t="e">
        <f t="shared" si="31"/>
        <v>#DIV/0!</v>
      </c>
      <c r="J101" s="2298" t="e">
        <f t="shared" si="31"/>
        <v>#DIV/0!</v>
      </c>
      <c r="K101" s="2298" t="e">
        <f t="shared" si="31"/>
        <v>#DIV/0!</v>
      </c>
      <c r="L101" s="2298" t="e">
        <f t="shared" si="31"/>
        <v>#DIV/0!</v>
      </c>
      <c r="M101" s="2298" t="e">
        <f t="shared" si="31"/>
        <v>#DIV/0!</v>
      </c>
      <c r="N101" s="2298" t="e">
        <f t="shared" si="31"/>
        <v>#DIV/0!</v>
      </c>
    </row>
    <row r="102" spans="1:14">
      <c r="A102" s="3574"/>
      <c r="B102" s="2293">
        <v>1</v>
      </c>
      <c r="C102" s="2294" t="e">
        <f>1.9362/C101</f>
        <v>#DIV/0!</v>
      </c>
      <c r="D102" s="2294" t="e">
        <f>1.9362/D101</f>
        <v>#DIV/0!</v>
      </c>
      <c r="E102" s="2294" t="e">
        <f>1.8629/E101</f>
        <v>#DIV/0!</v>
      </c>
      <c r="F102" s="2294" t="e">
        <f>1.8629/F101</f>
        <v>#DIV/0!</v>
      </c>
      <c r="G102" s="2294" t="e">
        <f>1.8629/G101</f>
        <v>#DIV/0!</v>
      </c>
      <c r="H102" s="2294" t="e">
        <f>1.8629/H101</f>
        <v>#DIV/0!</v>
      </c>
      <c r="I102" s="2294" t="e">
        <f>1.8629/I101</f>
        <v>#DIV/0!</v>
      </c>
      <c r="J102" s="2294" t="e">
        <f>1.942/J101</f>
        <v>#DIV/0!</v>
      </c>
      <c r="K102" s="2294" t="e">
        <f>1.942/K101</f>
        <v>#DIV/0!</v>
      </c>
      <c r="L102" s="2294" t="e">
        <f>1.942/L101</f>
        <v>#DIV/0!</v>
      </c>
      <c r="M102" s="2294" t="e">
        <f>1.942/M101</f>
        <v>#DIV/0!</v>
      </c>
      <c r="N102" s="2294" t="e">
        <f>1.942/N101</f>
        <v>#DIV/0!</v>
      </c>
    </row>
    <row r="103" spans="1:14">
      <c r="A103" s="3574"/>
      <c r="B103" s="2293">
        <v>2</v>
      </c>
      <c r="C103" s="2294" t="e">
        <f>1.4198/C101</f>
        <v>#DIV/0!</v>
      </c>
      <c r="D103" s="2294" t="e">
        <f>1.4198/D101</f>
        <v>#DIV/0!</v>
      </c>
      <c r="E103" s="2294" t="e">
        <f>1.3372/E101</f>
        <v>#DIV/0!</v>
      </c>
      <c r="F103" s="2294" t="e">
        <f>1.3372/F101</f>
        <v>#DIV/0!</v>
      </c>
      <c r="G103" s="2294" t="e">
        <f>1.3372/G101</f>
        <v>#DIV/0!</v>
      </c>
      <c r="H103" s="2294" t="e">
        <f>1.3372/H101</f>
        <v>#DIV/0!</v>
      </c>
      <c r="I103" s="2294" t="e">
        <f>1.3372/I101</f>
        <v>#DIV/0!</v>
      </c>
      <c r="J103" s="2294" t="e">
        <f>1.2799/J101</f>
        <v>#DIV/0!</v>
      </c>
      <c r="K103" s="2294" t="e">
        <f>1.2799/K101</f>
        <v>#DIV/0!</v>
      </c>
      <c r="L103" s="2294" t="e">
        <f>1.2799/L101</f>
        <v>#DIV/0!</v>
      </c>
      <c r="M103" s="2294" t="e">
        <f>1.2799/M101</f>
        <v>#DIV/0!</v>
      </c>
      <c r="N103" s="2294" t="e">
        <f>1.2799/N101</f>
        <v>#DIV/0!</v>
      </c>
    </row>
    <row r="104" spans="1:14">
      <c r="A104" s="3574"/>
      <c r="B104" s="2293">
        <v>3</v>
      </c>
      <c r="C104" s="2294" t="e">
        <f>1.1594/C101</f>
        <v>#DIV/0!</v>
      </c>
      <c r="D104" s="2294" t="e">
        <f>1.1594/D101</f>
        <v>#DIV/0!</v>
      </c>
      <c r="E104" s="2294" t="e">
        <f>1.0788/E101</f>
        <v>#DIV/0!</v>
      </c>
      <c r="F104" s="2294" t="e">
        <f>1.0788/F101</f>
        <v>#DIV/0!</v>
      </c>
      <c r="G104" s="2294" t="e">
        <f>1.0788/G101</f>
        <v>#DIV/0!</v>
      </c>
      <c r="H104" s="2294" t="e">
        <f>1.0788/H101</f>
        <v>#DIV/0!</v>
      </c>
      <c r="I104" s="2294" t="e">
        <f>1.0788/I101</f>
        <v>#DIV/0!</v>
      </c>
      <c r="J104" s="2294" t="e">
        <f>1.0072/J101</f>
        <v>#DIV/0!</v>
      </c>
      <c r="K104" s="2294" t="e">
        <f>1.0072/K101</f>
        <v>#DIV/0!</v>
      </c>
      <c r="L104" s="2294" t="e">
        <f>1.0072/L101</f>
        <v>#DIV/0!</v>
      </c>
      <c r="M104" s="2294" t="e">
        <f>1.0072/M101</f>
        <v>#DIV/0!</v>
      </c>
      <c r="N104" s="2294" t="e">
        <f>1.0072/N101</f>
        <v>#DIV/0!</v>
      </c>
    </row>
    <row r="105" spans="1:14">
      <c r="A105" s="3574"/>
      <c r="B105" s="2293">
        <v>4</v>
      </c>
      <c r="C105" s="2294" t="e">
        <f>0.9622/C101</f>
        <v>#DIV/0!</v>
      </c>
      <c r="D105" s="2294" t="e">
        <f>0.9622/D101</f>
        <v>#DIV/0!</v>
      </c>
      <c r="E105" s="2294" t="e">
        <f>0.8656/E101</f>
        <v>#DIV/0!</v>
      </c>
      <c r="F105" s="2294" t="e">
        <f>0.8656/F101</f>
        <v>#DIV/0!</v>
      </c>
      <c r="G105" s="2294" t="e">
        <f>0.8656/G101</f>
        <v>#DIV/0!</v>
      </c>
      <c r="H105" s="2294" t="e">
        <f>0.8656/H101</f>
        <v>#DIV/0!</v>
      </c>
      <c r="I105" s="2294" t="e">
        <f>0.8656/I101</f>
        <v>#DIV/0!</v>
      </c>
      <c r="J105" s="2294" t="e">
        <f>0.7525/J101</f>
        <v>#DIV/0!</v>
      </c>
      <c r="K105" s="2294" t="e">
        <f>0.7525/K101</f>
        <v>#DIV/0!</v>
      </c>
      <c r="L105" s="2294" t="e">
        <f>0.7525/L101</f>
        <v>#DIV/0!</v>
      </c>
      <c r="M105" s="2294" t="e">
        <f>0.7525/M101</f>
        <v>#DIV/0!</v>
      </c>
      <c r="N105" s="2294" t="e">
        <f>0.7525/N101</f>
        <v>#DIV/0!</v>
      </c>
    </row>
    <row r="106" spans="1:14">
      <c r="A106" s="3574"/>
      <c r="B106" s="2293">
        <v>5</v>
      </c>
      <c r="C106" s="2294" t="e">
        <f>0.8417/C101</f>
        <v>#DIV/0!</v>
      </c>
      <c r="D106" s="2294" t="e">
        <f>0.8417/D101</f>
        <v>#DIV/0!</v>
      </c>
      <c r="E106" s="2294" t="e">
        <f>0.7371/E101</f>
        <v>#DIV/0!</v>
      </c>
      <c r="F106" s="2294" t="e">
        <f>0.7371/F101</f>
        <v>#DIV/0!</v>
      </c>
      <c r="G106" s="2294" t="e">
        <f>0.7371/G101</f>
        <v>#DIV/0!</v>
      </c>
      <c r="H106" s="2294" t="e">
        <f>0.7371/H101</f>
        <v>#DIV/0!</v>
      </c>
      <c r="I106" s="2294" t="e">
        <f>0.7371/I101</f>
        <v>#DIV/0!</v>
      </c>
      <c r="J106" s="2294" t="e">
        <f>0.5659/J101</f>
        <v>#DIV/0!</v>
      </c>
      <c r="K106" s="2294" t="e">
        <f>0.5659/K101</f>
        <v>#DIV/0!</v>
      </c>
      <c r="L106" s="2294" t="e">
        <f>0.5659/L101</f>
        <v>#DIV/0!</v>
      </c>
      <c r="M106" s="2294" t="e">
        <f>0.5659/M101</f>
        <v>#DIV/0!</v>
      </c>
      <c r="N106" s="2294" t="e">
        <f>0.5659/N101</f>
        <v>#DIV/0!</v>
      </c>
    </row>
    <row r="107" spans="1:14">
      <c r="A107" s="3574"/>
      <c r="B107" s="2293">
        <v>6</v>
      </c>
      <c r="C107" s="2294" t="e">
        <f>0.7608/C101</f>
        <v>#DIV/0!</v>
      </c>
      <c r="D107" s="2294" t="e">
        <f>0.7608/D101</f>
        <v>#DIV/0!</v>
      </c>
      <c r="E107" s="2294" t="e">
        <f>0.6482/E101</f>
        <v>#DIV/0!</v>
      </c>
      <c r="F107" s="2294" t="e">
        <f>0.6482/F101</f>
        <v>#DIV/0!</v>
      </c>
      <c r="G107" s="2294" t="e">
        <f>0.6482/G101</f>
        <v>#DIV/0!</v>
      </c>
      <c r="H107" s="2294" t="e">
        <f>0.6482/H101</f>
        <v>#DIV/0!</v>
      </c>
      <c r="I107" s="2294" t="e">
        <f>0.6482/I101</f>
        <v>#DIV/0!</v>
      </c>
      <c r="J107" s="2294" t="e">
        <f>0.4525/J101</f>
        <v>#DIV/0!</v>
      </c>
      <c r="K107" s="2294" t="e">
        <f>0.4525/K101</f>
        <v>#DIV/0!</v>
      </c>
      <c r="L107" s="2294" t="e">
        <f>0.4525/L101</f>
        <v>#DIV/0!</v>
      </c>
      <c r="M107" s="2294" t="e">
        <f>0.4525/M101</f>
        <v>#DIV/0!</v>
      </c>
      <c r="N107" s="2294" t="e">
        <f>0.4525/N101</f>
        <v>#DIV/0!</v>
      </c>
    </row>
    <row r="108" spans="1:14">
      <c r="A108" s="3574"/>
      <c r="B108" s="3576" t="s">
        <v>2556</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575"/>
      <c r="B109" s="3577"/>
      <c r="C109" s="2296" t="e">
        <f>(-0.163*(C108^2)-0.59*C108+7617)*(10^(-4))/C101</f>
        <v>#DIV/0!</v>
      </c>
      <c r="D109" s="2296" t="e">
        <f>(-0.163*(D108^2)-0.59*D108+7617)*(10^(-4))/D101</f>
        <v>#DIV/0!</v>
      </c>
      <c r="E109" s="2296" t="e">
        <f>(-0.161*(E108^2)-7.509*E108+6533)*(10^(-4))/E101</f>
        <v>#DIV/0!</v>
      </c>
      <c r="F109" s="2296" t="e">
        <f>(-0.161*(F108^2)-7.509*F108+6533)*(10^(-4))/F101</f>
        <v>#DIV/0!</v>
      </c>
      <c r="G109" s="2296" t="e">
        <f>(-0.161*(G108^2)-7.509*G108+6533)*(10^(-4))/G101</f>
        <v>#DIV/0!</v>
      </c>
      <c r="H109" s="2296" t="e">
        <f>(-0.161*(H108^2)-7.509*H108+6533)*(10^(-4))/H101</f>
        <v>#DIV/0!</v>
      </c>
      <c r="I109" s="2296" t="e">
        <f>(-0.161*(I108^2)-7.509*I108+6533)*(10^(-4))/I101</f>
        <v>#DIV/0!</v>
      </c>
      <c r="J109" s="2296" t="e">
        <f>(-0.214*(J108^2)-21.991*J108+4665)*(10^(-4))/J101</f>
        <v>#DIV/0!</v>
      </c>
      <c r="K109" s="2296" t="e">
        <f>(-0.214*(K108^2)-21.991*K108+4665)*(10^(-4))/K101</f>
        <v>#DIV/0!</v>
      </c>
      <c r="L109" s="2296" t="e">
        <f>(-0.214*(L108^2)-21.991*L108+4665)*(10^(-4))/L101</f>
        <v>#DIV/0!</v>
      </c>
      <c r="M109" s="2296" t="e">
        <f>(-0.214*(M108^2)-21.991*M108+4665)*(10^(-4))/M101</f>
        <v>#DIV/0!</v>
      </c>
      <c r="N109" s="2296" t="e">
        <f>(-0.214*(N108^2)-21.991*N108+4665)*(10^(-4))/N101</f>
        <v>#DIV/0!</v>
      </c>
    </row>
    <row r="110" spans="1:14">
      <c r="A110" s="3571" t="s">
        <v>2557</v>
      </c>
      <c r="B110" s="3571"/>
      <c r="C110" s="3571"/>
      <c r="D110" s="3571"/>
      <c r="E110" s="3571"/>
      <c r="F110" s="3571"/>
      <c r="G110" s="3571"/>
      <c r="H110" s="3571"/>
      <c r="I110" s="3571"/>
      <c r="J110" s="3571"/>
      <c r="K110" s="2299"/>
      <c r="L110" s="2299"/>
      <c r="M110" s="2299"/>
      <c r="N110" s="2299"/>
    </row>
    <row r="112" spans="1:14" ht="13.5" thickBot="1"/>
    <row r="113" spans="1:13" ht="25.5" thickBot="1">
      <c r="A113" s="821" t="s">
        <v>2558</v>
      </c>
      <c r="B113" s="1175" t="e">
        <f>G3</f>
        <v>#DIV/0!</v>
      </c>
      <c r="C113" s="822" t="s">
        <v>2559</v>
      </c>
      <c r="D113" s="823" t="e">
        <f>SUMPRODUCT((A115:A118=F113)*(B114:M114=H113)*B115:M118)</f>
        <v>#DIV/0!</v>
      </c>
      <c r="E113" s="2135" t="s">
        <v>2392</v>
      </c>
      <c r="F113" s="2301">
        <f>E2</f>
        <v>0</v>
      </c>
      <c r="G113" s="2135" t="s">
        <v>2393</v>
      </c>
      <c r="H113" s="2301">
        <f>G2</f>
        <v>0</v>
      </c>
      <c r="I113" s="2135"/>
      <c r="J113" s="2302"/>
      <c r="K113" s="2302"/>
      <c r="L113" s="2302"/>
      <c r="M113" s="2302"/>
    </row>
    <row r="114" spans="1:13">
      <c r="A114" s="826"/>
      <c r="B114" s="2303" t="s">
        <v>2560</v>
      </c>
      <c r="C114" s="2303" t="s">
        <v>2561</v>
      </c>
      <c r="D114" s="2303" t="s">
        <v>2562</v>
      </c>
      <c r="E114" s="2304" t="s">
        <v>2563</v>
      </c>
      <c r="F114" s="2304" t="s">
        <v>2564</v>
      </c>
      <c r="G114" s="2304" t="s">
        <v>2565</v>
      </c>
      <c r="H114" s="2305" t="s">
        <v>2566</v>
      </c>
      <c r="I114" s="2305" t="s">
        <v>2567</v>
      </c>
      <c r="J114" s="2306" t="s">
        <v>2568</v>
      </c>
      <c r="K114" s="2306" t="s">
        <v>2569</v>
      </c>
      <c r="L114" s="2306" t="s">
        <v>2570</v>
      </c>
      <c r="M114" s="2307" t="s">
        <v>2571</v>
      </c>
    </row>
    <row r="115" spans="1:13">
      <c r="A115" s="827" t="s">
        <v>2457</v>
      </c>
      <c r="B115" s="828" t="e">
        <f>ROUND(0.9335-0.0094*B113,4)</f>
        <v>#DIV/0!</v>
      </c>
      <c r="C115" s="828" t="e">
        <f>B115</f>
        <v>#DIV/0!</v>
      </c>
      <c r="D115" s="828" t="e">
        <f>ROUND(0.8331-0.0109*B113,4)</f>
        <v>#DIV/0!</v>
      </c>
      <c r="E115" s="828" t="e">
        <f>D115</f>
        <v>#DIV/0!</v>
      </c>
      <c r="F115" s="828" t="e">
        <f>E115</f>
        <v>#DIV/0!</v>
      </c>
      <c r="G115" s="828" t="e">
        <f>F115</f>
        <v>#DIV/0!</v>
      </c>
      <c r="H115" s="828" t="e">
        <f>G115</f>
        <v>#DIV/0!</v>
      </c>
      <c r="I115" s="828" t="e">
        <f>ROUND(0.689-0.0155*B113,4)</f>
        <v>#DIV/0!</v>
      </c>
      <c r="J115" s="828" t="e">
        <f t="shared" ref="J115:M118" si="33">I115</f>
        <v>#DIV/0!</v>
      </c>
      <c r="K115" s="828" t="e">
        <f t="shared" si="33"/>
        <v>#DIV/0!</v>
      </c>
      <c r="L115" s="828" t="e">
        <f t="shared" si="33"/>
        <v>#DIV/0!</v>
      </c>
      <c r="M115" s="829" t="e">
        <f t="shared" si="33"/>
        <v>#DIV/0!</v>
      </c>
    </row>
    <row r="116" spans="1:13">
      <c r="A116" s="827" t="s">
        <v>2458</v>
      </c>
      <c r="B116" s="828" t="e">
        <f>ROUND(0.949-0.012*B113,4)</f>
        <v>#DIV/0!</v>
      </c>
      <c r="C116" s="828" t="e">
        <f>B116</f>
        <v>#DIV/0!</v>
      </c>
      <c r="D116" s="828" t="e">
        <f>ROUND(0.8567-0.013*B113,4)</f>
        <v>#DIV/0!</v>
      </c>
      <c r="E116" s="828" t="e">
        <f t="shared" ref="E116:H117" si="34">D116</f>
        <v>#DIV/0!</v>
      </c>
      <c r="F116" s="828" t="e">
        <f t="shared" si="34"/>
        <v>#DIV/0!</v>
      </c>
      <c r="G116" s="828" t="e">
        <f t="shared" si="34"/>
        <v>#DIV/0!</v>
      </c>
      <c r="H116" s="828" t="e">
        <f t="shared" si="34"/>
        <v>#DIV/0!</v>
      </c>
      <c r="I116" s="828" t="e">
        <f>ROUND(0.7694-0.014*B113,4)</f>
        <v>#DIV/0!</v>
      </c>
      <c r="J116" s="828" t="e">
        <f t="shared" si="33"/>
        <v>#DIV/0!</v>
      </c>
      <c r="K116" s="828" t="e">
        <f t="shared" si="33"/>
        <v>#DIV/0!</v>
      </c>
      <c r="L116" s="828" t="e">
        <f t="shared" si="33"/>
        <v>#DIV/0!</v>
      </c>
      <c r="M116" s="829" t="e">
        <f t="shared" si="33"/>
        <v>#DIV/0!</v>
      </c>
    </row>
    <row r="117" spans="1:13">
      <c r="A117" s="827" t="s">
        <v>2459</v>
      </c>
      <c r="B117" s="828" t="e">
        <f>ROUND(0.8808-0.006*B113,4)</f>
        <v>#DIV/0!</v>
      </c>
      <c r="C117" s="828" t="e">
        <f>B117</f>
        <v>#DIV/0!</v>
      </c>
      <c r="D117" s="828" t="e">
        <f>ROUND(0.8748-0.008*B113,4)</f>
        <v>#DIV/0!</v>
      </c>
      <c r="E117" s="828" t="e">
        <f t="shared" si="34"/>
        <v>#DIV/0!</v>
      </c>
      <c r="F117" s="828" t="e">
        <f t="shared" si="34"/>
        <v>#DIV/0!</v>
      </c>
      <c r="G117" s="828" t="e">
        <f t="shared" si="34"/>
        <v>#DIV/0!</v>
      </c>
      <c r="H117" s="828" t="e">
        <f t="shared" si="34"/>
        <v>#DIV/0!</v>
      </c>
      <c r="I117" s="828" t="e">
        <f>ROUND(0.7412-0.0095*B113,4)</f>
        <v>#DIV/0!</v>
      </c>
      <c r="J117" s="828" t="e">
        <f t="shared" si="33"/>
        <v>#DIV/0!</v>
      </c>
      <c r="K117" s="828" t="e">
        <f t="shared" si="33"/>
        <v>#DIV/0!</v>
      </c>
      <c r="L117" s="828" t="e">
        <f t="shared" si="33"/>
        <v>#DIV/0!</v>
      </c>
      <c r="M117" s="829" t="e">
        <f t="shared" si="33"/>
        <v>#DIV/0!</v>
      </c>
    </row>
    <row r="118" spans="1:13" ht="13.5" thickBot="1">
      <c r="A118" s="670" t="s">
        <v>2460</v>
      </c>
      <c r="B118" s="830" t="e">
        <f>ROUND(0.7275-0.01*B113,4)</f>
        <v>#DIV/0!</v>
      </c>
      <c r="C118" s="830" t="e">
        <f>B118</f>
        <v>#DIV/0!</v>
      </c>
      <c r="D118" s="830" t="e">
        <f>ROUND(0.7043-0.012*B113,4)</f>
        <v>#DIV/0!</v>
      </c>
      <c r="E118" s="830" t="e">
        <f>D118</f>
        <v>#DIV/0!</v>
      </c>
      <c r="F118" s="830" t="e">
        <f>E118</f>
        <v>#DIV/0!</v>
      </c>
      <c r="G118" s="830" t="e">
        <f>ROUND(0.6299-0.0122*B113,4)</f>
        <v>#DIV/0!</v>
      </c>
      <c r="H118" s="830" t="e">
        <f>G118</f>
        <v>#DIV/0!</v>
      </c>
      <c r="I118" s="830" t="e">
        <f>ROUND(0.5667-0.0136*B113,4)</f>
        <v>#DIV/0!</v>
      </c>
      <c r="J118" s="830" t="e">
        <f t="shared" si="33"/>
        <v>#DIV/0!</v>
      </c>
      <c r="K118" s="830" t="e">
        <f t="shared" si="33"/>
        <v>#DIV/0!</v>
      </c>
      <c r="L118" s="830" t="e">
        <f t="shared" si="33"/>
        <v>#DIV/0!</v>
      </c>
      <c r="M118" s="83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3" t="s">
        <v>2944</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2945</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2946</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2947</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2948</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2949</v>
      </c>
      <c r="B7" s="3197">
        <v>2.5</v>
      </c>
      <c r="C7" s="3197">
        <v>2.5</v>
      </c>
      <c r="D7" s="3197">
        <v>2</v>
      </c>
      <c r="E7" s="3197">
        <v>2</v>
      </c>
      <c r="F7" s="3197">
        <v>2</v>
      </c>
      <c r="G7" s="3197">
        <v>2</v>
      </c>
      <c r="H7" s="3197">
        <v>2</v>
      </c>
      <c r="I7" s="3198">
        <v>1.5</v>
      </c>
      <c r="J7" s="3198">
        <v>1.5</v>
      </c>
      <c r="K7" s="3198">
        <v>1.5</v>
      </c>
      <c r="L7" s="3198">
        <v>1.5</v>
      </c>
      <c r="M7" s="3199">
        <v>1.5</v>
      </c>
    </row>
    <row r="8" spans="1:13" ht="19.5" customHeight="1">
      <c r="A8" s="793"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3"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3"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3"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3"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3"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3"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4"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2623</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4" t="s">
        <v>2950</v>
      </c>
      <c r="B19" s="3206" t="s">
        <v>2951</v>
      </c>
      <c r="C19" s="3207" t="s">
        <v>2952</v>
      </c>
      <c r="D19" s="3208"/>
      <c r="E19" s="3202" t="s">
        <v>2953</v>
      </c>
      <c r="F19" s="800"/>
      <c r="G19" s="800"/>
    </row>
    <row r="20" spans="1:13" s="805" customFormat="1" ht="19.5" customHeight="1">
      <c r="A20" s="3593" t="s">
        <v>2954</v>
      </c>
      <c r="B20" s="3588" t="s">
        <v>2955</v>
      </c>
      <c r="C20" s="3209" t="s">
        <v>2956</v>
      </c>
      <c r="D20" s="3210"/>
      <c r="E20" s="3211">
        <v>1</v>
      </c>
      <c r="F20" s="3212" t="s">
        <v>2957</v>
      </c>
      <c r="G20" s="804"/>
      <c r="H20" s="798"/>
      <c r="I20" s="798"/>
    </row>
    <row r="21" spans="1:13" s="805" customFormat="1" ht="19.5" customHeight="1">
      <c r="A21" s="3594"/>
      <c r="B21" s="3587"/>
      <c r="C21" s="802" t="s">
        <v>2958</v>
      </c>
      <c r="D21" s="803"/>
      <c r="E21" s="3213">
        <v>1</v>
      </c>
      <c r="F21" s="3212" t="s">
        <v>2959</v>
      </c>
      <c r="G21" s="804"/>
      <c r="H21" s="798"/>
      <c r="I21" s="798"/>
    </row>
    <row r="22" spans="1:13" s="805" customFormat="1" ht="19.5" customHeight="1">
      <c r="A22" s="3594"/>
      <c r="B22" s="3587"/>
      <c r="C22" s="802" t="s">
        <v>2960</v>
      </c>
      <c r="D22" s="803"/>
      <c r="E22" s="3213">
        <v>0.9</v>
      </c>
      <c r="F22" s="3212" t="s">
        <v>2961</v>
      </c>
      <c r="G22" s="804"/>
      <c r="H22" s="798"/>
      <c r="I22" s="798"/>
    </row>
    <row r="23" spans="1:13" s="805" customFormat="1" ht="19.5" customHeight="1">
      <c r="A23" s="3594"/>
      <c r="B23" s="3587"/>
      <c r="C23" s="802" t="s">
        <v>2962</v>
      </c>
      <c r="D23" s="803"/>
      <c r="E23" s="3213">
        <v>0.9</v>
      </c>
      <c r="F23" s="3212" t="s">
        <v>2963</v>
      </c>
      <c r="G23" s="804"/>
      <c r="H23" s="798"/>
      <c r="I23" s="798"/>
    </row>
    <row r="24" spans="1:13" s="805" customFormat="1" ht="19.5" customHeight="1">
      <c r="A24" s="3594"/>
      <c r="B24" s="3587"/>
      <c r="C24" s="802" t="s">
        <v>2964</v>
      </c>
      <c r="D24" s="803"/>
      <c r="E24" s="3213">
        <v>0.8</v>
      </c>
      <c r="F24" s="3212" t="s">
        <v>2965</v>
      </c>
      <c r="G24" s="804"/>
      <c r="H24" s="798"/>
      <c r="I24" s="798"/>
    </row>
    <row r="25" spans="1:13" s="805" customFormat="1" ht="19.5" customHeight="1" thickBot="1">
      <c r="A25" s="3595"/>
      <c r="B25" s="3589"/>
      <c r="C25" s="3214" t="s">
        <v>2966</v>
      </c>
      <c r="D25" s="3215"/>
      <c r="E25" s="3216">
        <v>0.8</v>
      </c>
      <c r="F25" s="3212" t="s">
        <v>2967</v>
      </c>
      <c r="G25" s="804"/>
      <c r="H25" s="798"/>
      <c r="I25" s="798"/>
    </row>
    <row r="26" spans="1:13" s="805" customFormat="1" ht="19.5" customHeight="1" thickBot="1">
      <c r="A26" s="3217" t="s">
        <v>2968</v>
      </c>
      <c r="B26" s="3218" t="s">
        <v>2955</v>
      </c>
      <c r="C26" s="3219" t="s">
        <v>2969</v>
      </c>
      <c r="D26" s="3220"/>
      <c r="E26" s="3221">
        <v>1</v>
      </c>
      <c r="F26" s="3212" t="s">
        <v>2970</v>
      </c>
      <c r="G26" s="804"/>
      <c r="H26" s="798"/>
      <c r="I26" s="798"/>
    </row>
    <row r="27" spans="1:13" s="805" customFormat="1" ht="19.5" customHeight="1">
      <c r="A27" s="3590" t="s">
        <v>2971</v>
      </c>
      <c r="B27" s="3588" t="s">
        <v>2971</v>
      </c>
      <c r="C27" s="3209" t="s">
        <v>2972</v>
      </c>
      <c r="D27" s="3210"/>
      <c r="E27" s="3211">
        <v>1</v>
      </c>
      <c r="F27" s="3212" t="s">
        <v>2973</v>
      </c>
      <c r="G27" s="804"/>
      <c r="H27" s="798"/>
      <c r="I27" s="798"/>
    </row>
    <row r="28" spans="1:13" s="805" customFormat="1" ht="19.5" customHeight="1">
      <c r="A28" s="3591"/>
      <c r="B28" s="3587"/>
      <c r="C28" s="802" t="s">
        <v>2974</v>
      </c>
      <c r="D28" s="803"/>
      <c r="E28" s="3213">
        <v>1</v>
      </c>
      <c r="F28" s="3212" t="s">
        <v>2975</v>
      </c>
      <c r="G28" s="804"/>
      <c r="H28" s="798"/>
      <c r="I28" s="798"/>
    </row>
    <row r="29" spans="1:13" s="805" customFormat="1" ht="19.5" customHeight="1">
      <c r="A29" s="3591"/>
      <c r="B29" s="3587"/>
      <c r="C29" s="802" t="s">
        <v>2976</v>
      </c>
      <c r="D29" s="803"/>
      <c r="E29" s="3213">
        <v>0.8</v>
      </c>
      <c r="F29" s="3212" t="s">
        <v>2977</v>
      </c>
      <c r="G29" s="804"/>
      <c r="H29" s="798"/>
      <c r="I29" s="798"/>
    </row>
    <row r="30" spans="1:13" s="805" customFormat="1" ht="19.5" customHeight="1">
      <c r="A30" s="3591"/>
      <c r="B30" s="3587"/>
      <c r="C30" s="802" t="s">
        <v>2978</v>
      </c>
      <c r="D30" s="803"/>
      <c r="E30" s="3213">
        <v>0.8</v>
      </c>
      <c r="F30" s="3212" t="s">
        <v>2979</v>
      </c>
      <c r="G30" s="804"/>
      <c r="H30" s="798"/>
      <c r="I30" s="798"/>
    </row>
    <row r="31" spans="1:13" s="805" customFormat="1" ht="19.5" customHeight="1">
      <c r="A31" s="3591"/>
      <c r="B31" s="3587"/>
      <c r="C31" s="802" t="s">
        <v>2980</v>
      </c>
      <c r="D31" s="803"/>
      <c r="E31" s="3213">
        <v>0.8</v>
      </c>
      <c r="F31" s="3212" t="s">
        <v>2981</v>
      </c>
      <c r="G31" s="804"/>
      <c r="H31" s="798"/>
      <c r="I31" s="798"/>
    </row>
    <row r="32" spans="1:13" s="805" customFormat="1" ht="19.5" customHeight="1">
      <c r="A32" s="3591"/>
      <c r="B32" s="3587"/>
      <c r="C32" s="802" t="s">
        <v>2982</v>
      </c>
      <c r="D32" s="803"/>
      <c r="E32" s="3213">
        <v>0.7</v>
      </c>
      <c r="F32" s="3212" t="s">
        <v>2983</v>
      </c>
      <c r="G32" s="804"/>
      <c r="H32" s="798"/>
      <c r="I32" s="798"/>
    </row>
    <row r="33" spans="1:9" s="805" customFormat="1" ht="19.5" customHeight="1">
      <c r="A33" s="3591"/>
      <c r="B33" s="3587"/>
      <c r="C33" s="802" t="s">
        <v>2984</v>
      </c>
      <c r="D33" s="803"/>
      <c r="E33" s="3213">
        <v>0.8</v>
      </c>
      <c r="F33" s="3212" t="s">
        <v>2985</v>
      </c>
      <c r="G33" s="804"/>
      <c r="H33" s="798"/>
      <c r="I33" s="798"/>
    </row>
    <row r="34" spans="1:9" s="805" customFormat="1" ht="19.5" customHeight="1">
      <c r="A34" s="3591"/>
      <c r="B34" s="3587"/>
      <c r="C34" s="802" t="s">
        <v>2986</v>
      </c>
      <c r="D34" s="803"/>
      <c r="E34" s="3213">
        <v>0.6</v>
      </c>
      <c r="F34" s="3212" t="s">
        <v>2987</v>
      </c>
      <c r="G34" s="804"/>
      <c r="H34" s="798"/>
      <c r="I34" s="798"/>
    </row>
    <row r="35" spans="1:9" s="805" customFormat="1" ht="19.5" customHeight="1">
      <c r="A35" s="3591"/>
      <c r="B35" s="3587"/>
      <c r="C35" s="802" t="s">
        <v>2988</v>
      </c>
      <c r="D35" s="803"/>
      <c r="E35" s="3213">
        <v>0.2</v>
      </c>
      <c r="F35" s="3212" t="s">
        <v>2989</v>
      </c>
      <c r="G35" s="804"/>
      <c r="H35" s="798"/>
      <c r="I35" s="798"/>
    </row>
    <row r="36" spans="1:9" s="805" customFormat="1" ht="19.5" customHeight="1">
      <c r="A36" s="3591"/>
      <c r="B36" s="3587"/>
      <c r="C36" s="802" t="s">
        <v>2990</v>
      </c>
      <c r="D36" s="803"/>
      <c r="E36" s="3213">
        <v>0.2</v>
      </c>
      <c r="F36" s="3212" t="s">
        <v>2991</v>
      </c>
      <c r="G36" s="804"/>
      <c r="H36" s="798"/>
      <c r="I36" s="798"/>
    </row>
    <row r="37" spans="1:9" s="805" customFormat="1" ht="19.5" customHeight="1">
      <c r="A37" s="3591"/>
      <c r="B37" s="3585" t="s">
        <v>2992</v>
      </c>
      <c r="C37" s="802" t="s">
        <v>2993</v>
      </c>
      <c r="D37" s="803"/>
      <c r="E37" s="3213">
        <v>0.6</v>
      </c>
      <c r="F37" s="3212" t="s">
        <v>2994</v>
      </c>
      <c r="G37" s="804"/>
      <c r="H37" s="798"/>
      <c r="I37" s="798"/>
    </row>
    <row r="38" spans="1:9" s="805" customFormat="1" ht="19.5" customHeight="1">
      <c r="A38" s="3591"/>
      <c r="B38" s="3587"/>
      <c r="C38" s="802" t="s">
        <v>2995</v>
      </c>
      <c r="D38" s="803"/>
      <c r="E38" s="3213">
        <v>0.6</v>
      </c>
      <c r="F38" s="3212" t="s">
        <v>2996</v>
      </c>
      <c r="G38" s="804"/>
      <c r="H38" s="798"/>
      <c r="I38" s="798"/>
    </row>
    <row r="39" spans="1:9" s="805" customFormat="1" ht="19.5" customHeight="1" thickBot="1">
      <c r="A39" s="3592"/>
      <c r="B39" s="3589"/>
      <c r="C39" s="3214" t="s">
        <v>2997</v>
      </c>
      <c r="D39" s="3215"/>
      <c r="E39" s="3216">
        <v>0.6</v>
      </c>
      <c r="F39" s="3212" t="s">
        <v>2998</v>
      </c>
      <c r="G39" s="804"/>
      <c r="H39" s="798"/>
      <c r="I39" s="798"/>
    </row>
    <row r="40" spans="1:9" s="805" customFormat="1" ht="19.5" customHeight="1" thickBot="1">
      <c r="A40" s="3217" t="s">
        <v>2999</v>
      </c>
      <c r="B40" s="3218" t="s">
        <v>2999</v>
      </c>
      <c r="C40" s="3219" t="s">
        <v>3000</v>
      </c>
      <c r="D40" s="3220"/>
      <c r="E40" s="3221">
        <v>1</v>
      </c>
      <c r="F40" s="3212" t="s">
        <v>3001</v>
      </c>
      <c r="G40" s="804"/>
      <c r="H40" s="798"/>
      <c r="I40" s="798"/>
    </row>
    <row r="41" spans="1:9" s="805" customFormat="1" ht="19.5" customHeight="1">
      <c r="A41" s="3593" t="s">
        <v>3002</v>
      </c>
      <c r="B41" s="3588" t="s">
        <v>3003</v>
      </c>
      <c r="C41" s="3209" t="s">
        <v>3004</v>
      </c>
      <c r="D41" s="3210"/>
      <c r="E41" s="3211">
        <v>1</v>
      </c>
      <c r="F41" s="3212" t="s">
        <v>3005</v>
      </c>
      <c r="G41" s="804"/>
      <c r="H41" s="798"/>
      <c r="I41" s="798"/>
    </row>
    <row r="42" spans="1:9" s="805" customFormat="1" ht="19.5" customHeight="1">
      <c r="A42" s="3594"/>
      <c r="B42" s="3587"/>
      <c r="C42" s="802" t="s">
        <v>3006</v>
      </c>
      <c r="D42" s="803"/>
      <c r="E42" s="3213">
        <v>1</v>
      </c>
      <c r="F42" s="3212" t="s">
        <v>3007</v>
      </c>
      <c r="G42" s="804"/>
      <c r="H42" s="798"/>
      <c r="I42" s="798"/>
    </row>
    <row r="43" spans="1:9" s="805" customFormat="1" ht="19.5" customHeight="1">
      <c r="A43" s="3594"/>
      <c r="B43" s="3586"/>
      <c r="C43" s="802" t="s">
        <v>3008</v>
      </c>
      <c r="D43" s="803"/>
      <c r="E43" s="3213">
        <v>1.5</v>
      </c>
      <c r="F43" s="3212" t="s">
        <v>3009</v>
      </c>
      <c r="G43" s="804"/>
      <c r="H43" s="798"/>
      <c r="I43" s="798"/>
    </row>
    <row r="44" spans="1:9" s="805" customFormat="1" ht="19.5" customHeight="1">
      <c r="A44" s="3594"/>
      <c r="B44" s="3222" t="s">
        <v>2971</v>
      </c>
      <c r="C44" s="802" t="s">
        <v>3010</v>
      </c>
      <c r="D44" s="803"/>
      <c r="E44" s="3213">
        <v>2</v>
      </c>
      <c r="F44" s="3212" t="s">
        <v>3011</v>
      </c>
      <c r="G44" s="804"/>
      <c r="H44" s="798"/>
      <c r="I44" s="798"/>
    </row>
    <row r="45" spans="1:9" s="805" customFormat="1" ht="19.5" customHeight="1">
      <c r="A45" s="3594"/>
      <c r="B45" s="3585" t="s">
        <v>3012</v>
      </c>
      <c r="C45" s="802" t="s">
        <v>3013</v>
      </c>
      <c r="D45" s="803"/>
      <c r="E45" s="3213">
        <v>1</v>
      </c>
      <c r="F45" s="3212" t="s">
        <v>3014</v>
      </c>
      <c r="G45" s="804"/>
      <c r="H45" s="798"/>
      <c r="I45" s="798"/>
    </row>
    <row r="46" spans="1:9" s="805" customFormat="1" ht="19.5" customHeight="1">
      <c r="A46" s="3594"/>
      <c r="B46" s="3587"/>
      <c r="C46" s="802" t="s">
        <v>3015</v>
      </c>
      <c r="D46" s="803"/>
      <c r="E46" s="3213">
        <v>1</v>
      </c>
      <c r="F46" s="3212" t="s">
        <v>3016</v>
      </c>
      <c r="G46" s="804"/>
      <c r="H46" s="798"/>
      <c r="I46" s="798"/>
    </row>
    <row r="47" spans="1:9" s="805" customFormat="1" ht="19.5" customHeight="1">
      <c r="A47" s="3594"/>
      <c r="B47" s="3587"/>
      <c r="C47" s="802" t="s">
        <v>3017</v>
      </c>
      <c r="D47" s="803"/>
      <c r="E47" s="3213">
        <v>1</v>
      </c>
      <c r="F47" s="3212" t="s">
        <v>3018</v>
      </c>
      <c r="G47" s="804"/>
      <c r="H47" s="798"/>
      <c r="I47" s="798"/>
    </row>
    <row r="48" spans="1:9" s="805" customFormat="1" ht="19.5" customHeight="1">
      <c r="A48" s="3594"/>
      <c r="B48" s="3587"/>
      <c r="C48" s="802" t="s">
        <v>3019</v>
      </c>
      <c r="D48" s="803"/>
      <c r="E48" s="3213">
        <v>1</v>
      </c>
      <c r="F48" s="3212" t="s">
        <v>3020</v>
      </c>
      <c r="G48" s="804"/>
      <c r="H48" s="798"/>
      <c r="I48" s="798"/>
    </row>
    <row r="49" spans="1:9" s="805" customFormat="1" ht="19.5" customHeight="1">
      <c r="A49" s="3594"/>
      <c r="B49" s="3587"/>
      <c r="C49" s="802" t="s">
        <v>3021</v>
      </c>
      <c r="D49" s="803"/>
      <c r="E49" s="3213">
        <v>1</v>
      </c>
      <c r="F49" s="3212" t="s">
        <v>3022</v>
      </c>
      <c r="G49" s="804"/>
      <c r="H49" s="798"/>
      <c r="I49" s="798"/>
    </row>
    <row r="50" spans="1:9" s="805" customFormat="1" ht="19.5" customHeight="1">
      <c r="A50" s="3594"/>
      <c r="B50" s="3587"/>
      <c r="C50" s="802" t="s">
        <v>3023</v>
      </c>
      <c r="D50" s="803"/>
      <c r="E50" s="3213">
        <v>1</v>
      </c>
      <c r="F50" s="3212" t="s">
        <v>3024</v>
      </c>
      <c r="G50" s="804"/>
      <c r="H50" s="798"/>
      <c r="I50" s="798"/>
    </row>
    <row r="51" spans="1:9" s="805" customFormat="1" ht="19.5" customHeight="1" thickBot="1">
      <c r="A51" s="3595"/>
      <c r="B51" s="3589"/>
      <c r="C51" s="3214" t="s">
        <v>3025</v>
      </c>
      <c r="D51" s="3215"/>
      <c r="E51" s="3216">
        <v>1</v>
      </c>
      <c r="F51" s="3212" t="s">
        <v>3026</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2">
        <v>0.7</v>
      </c>
      <c r="C57" s="3202">
        <v>0.4</v>
      </c>
      <c r="D57" s="3202">
        <v>0.3</v>
      </c>
      <c r="E57" s="3208">
        <v>0.3</v>
      </c>
      <c r="F57" s="3202">
        <v>0.3</v>
      </c>
      <c r="G57" s="3202">
        <v>0.2</v>
      </c>
      <c r="I57" s="752"/>
    </row>
    <row r="58" spans="1:9" ht="19.5" customHeight="1">
      <c r="A58" s="811" t="s">
        <v>158</v>
      </c>
      <c r="B58" s="3202">
        <v>0.7</v>
      </c>
      <c r="C58" s="3202">
        <v>0.4</v>
      </c>
      <c r="D58" s="3202">
        <v>0.3</v>
      </c>
      <c r="E58" s="3202">
        <v>0.3</v>
      </c>
      <c r="F58" s="3202">
        <v>0.3</v>
      </c>
      <c r="G58" s="3202">
        <v>0.2</v>
      </c>
      <c r="I58" s="752"/>
    </row>
    <row r="59" spans="1:9" ht="19.5" customHeight="1">
      <c r="A59" s="811" t="s">
        <v>159</v>
      </c>
      <c r="B59" s="3202">
        <v>0.6</v>
      </c>
      <c r="C59" s="3202">
        <v>0.3</v>
      </c>
      <c r="D59" s="3202">
        <v>0.25</v>
      </c>
      <c r="E59" s="3202">
        <v>0.25</v>
      </c>
      <c r="F59" s="3202">
        <v>0.25</v>
      </c>
      <c r="G59" s="3202">
        <v>0.15</v>
      </c>
      <c r="I59" s="752"/>
    </row>
    <row r="60" spans="1:9" ht="19.5" customHeight="1">
      <c r="A60" s="811" t="s">
        <v>160</v>
      </c>
      <c r="B60" s="3202">
        <v>0.6</v>
      </c>
      <c r="C60" s="3202">
        <v>0.3</v>
      </c>
      <c r="D60" s="3202">
        <v>0.25</v>
      </c>
      <c r="E60" s="3202">
        <v>0.25</v>
      </c>
      <c r="F60" s="3202">
        <v>0.25</v>
      </c>
      <c r="G60" s="3202">
        <v>0.15</v>
      </c>
      <c r="I60" s="752"/>
    </row>
    <row r="61" spans="1:9" s="798" customFormat="1" ht="19.5" customHeight="1">
      <c r="A61" s="811" t="s">
        <v>161</v>
      </c>
      <c r="B61" s="3202">
        <v>0.6</v>
      </c>
      <c r="C61" s="3202">
        <v>0.3</v>
      </c>
      <c r="D61" s="3202">
        <v>0.25</v>
      </c>
      <c r="E61" s="3202">
        <v>0.25</v>
      </c>
      <c r="F61" s="3202">
        <v>0.25</v>
      </c>
      <c r="G61" s="3202">
        <v>0.15</v>
      </c>
    </row>
    <row r="62" spans="1:9" s="798" customFormat="1" ht="19.5" customHeight="1">
      <c r="A62" s="811" t="s">
        <v>162</v>
      </c>
      <c r="B62" s="3202">
        <v>0.6</v>
      </c>
      <c r="C62" s="3202">
        <v>0.3</v>
      </c>
      <c r="D62" s="3202">
        <v>0.25</v>
      </c>
      <c r="E62" s="3202">
        <v>0.25</v>
      </c>
      <c r="F62" s="3202">
        <v>0.25</v>
      </c>
      <c r="G62" s="3202">
        <v>0.15</v>
      </c>
    </row>
    <row r="63" spans="1:9" s="798" customFormat="1" ht="19.5" customHeight="1">
      <c r="A63" s="811" t="s">
        <v>163</v>
      </c>
      <c r="B63" s="3202">
        <v>0.6</v>
      </c>
      <c r="C63" s="3202">
        <v>0.3</v>
      </c>
      <c r="D63" s="3202">
        <v>0.25</v>
      </c>
      <c r="E63" s="3202">
        <v>0.25</v>
      </c>
      <c r="F63" s="3202">
        <v>0.25</v>
      </c>
      <c r="G63" s="3202">
        <v>0.15</v>
      </c>
    </row>
    <row r="64" spans="1:9" s="798" customFormat="1" ht="19.5" customHeight="1">
      <c r="A64" s="811" t="s">
        <v>164</v>
      </c>
      <c r="B64" s="3202">
        <v>0.5</v>
      </c>
      <c r="C64" s="3202">
        <v>0.2</v>
      </c>
      <c r="D64" s="3202">
        <v>0.2</v>
      </c>
      <c r="E64" s="3202">
        <v>0.2</v>
      </c>
      <c r="F64" s="3202">
        <v>0.2</v>
      </c>
      <c r="G64" s="3202">
        <v>0.1</v>
      </c>
    </row>
    <row r="65" spans="1:7" s="798" customFormat="1" ht="19.5" customHeight="1">
      <c r="A65" s="811" t="s">
        <v>165</v>
      </c>
      <c r="B65" s="3202">
        <v>0.5</v>
      </c>
      <c r="C65" s="3202">
        <v>0.2</v>
      </c>
      <c r="D65" s="3202">
        <v>0.2</v>
      </c>
      <c r="E65" s="3202">
        <v>0.2</v>
      </c>
      <c r="F65" s="3202">
        <v>0.2</v>
      </c>
      <c r="G65" s="3202">
        <v>0.1</v>
      </c>
    </row>
    <row r="66" spans="1:7" s="798" customFormat="1" ht="19.5" customHeight="1">
      <c r="A66" s="811" t="s">
        <v>166</v>
      </c>
      <c r="B66" s="3202">
        <v>0.5</v>
      </c>
      <c r="C66" s="3202">
        <v>0.2</v>
      </c>
      <c r="D66" s="3202">
        <v>0.2</v>
      </c>
      <c r="E66" s="3202">
        <v>0.2</v>
      </c>
      <c r="F66" s="3202">
        <v>0.2</v>
      </c>
      <c r="G66" s="3202">
        <v>0.1</v>
      </c>
    </row>
    <row r="67" spans="1:7" s="798" customFormat="1" ht="19.5" customHeight="1">
      <c r="A67" s="811" t="s">
        <v>167</v>
      </c>
      <c r="B67" s="3202">
        <v>0.5</v>
      </c>
      <c r="C67" s="3202">
        <v>0.2</v>
      </c>
      <c r="D67" s="3202">
        <v>0.2</v>
      </c>
      <c r="E67" s="3202">
        <v>0.2</v>
      </c>
      <c r="F67" s="3202">
        <v>0.2</v>
      </c>
      <c r="G67" s="3202">
        <v>0.1</v>
      </c>
    </row>
    <row r="68" spans="1:7" s="798" customFormat="1" ht="19.5" customHeight="1">
      <c r="A68" s="811" t="s">
        <v>168</v>
      </c>
      <c r="B68" s="3202">
        <v>0.5</v>
      </c>
      <c r="C68" s="3202">
        <v>0.2</v>
      </c>
      <c r="D68" s="3202">
        <v>0.2</v>
      </c>
      <c r="E68" s="3202">
        <v>0.2</v>
      </c>
      <c r="F68" s="3202">
        <v>0.2</v>
      </c>
      <c r="G68" s="3202">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3027</v>
      </c>
      <c r="D72" s="856"/>
      <c r="E72" s="813" t="s">
        <v>1</v>
      </c>
      <c r="F72" s="856" t="s">
        <v>1</v>
      </c>
    </row>
    <row r="73" spans="1:7" s="798" customFormat="1" ht="13.5">
      <c r="A73" s="3222">
        <v>1</v>
      </c>
      <c r="B73" s="3585" t="s">
        <v>3028</v>
      </c>
      <c r="C73" s="3202" t="s">
        <v>3029</v>
      </c>
      <c r="D73" s="3202" t="s">
        <v>3030</v>
      </c>
      <c r="E73" s="3223">
        <v>0.2</v>
      </c>
      <c r="F73" s="3222">
        <v>25</v>
      </c>
    </row>
    <row r="74" spans="1:7" s="798" customFormat="1" ht="24">
      <c r="A74" s="3222">
        <v>2</v>
      </c>
      <c r="B74" s="3587"/>
      <c r="C74" s="3202" t="s">
        <v>3031</v>
      </c>
      <c r="D74" s="3202" t="s">
        <v>3032</v>
      </c>
      <c r="E74" s="3223">
        <v>0.2</v>
      </c>
      <c r="F74" s="3222">
        <v>25</v>
      </c>
    </row>
    <row r="75" spans="1:7" s="798" customFormat="1" ht="24">
      <c r="A75" s="3222">
        <v>3</v>
      </c>
      <c r="B75" s="3587"/>
      <c r="C75" s="3202" t="s">
        <v>3033</v>
      </c>
      <c r="D75" s="3202" t="s">
        <v>3034</v>
      </c>
      <c r="E75" s="3223">
        <v>0.2</v>
      </c>
      <c r="F75" s="3222">
        <v>25</v>
      </c>
    </row>
    <row r="76" spans="1:7" s="798" customFormat="1" ht="13.5">
      <c r="A76" s="3222">
        <v>4</v>
      </c>
      <c r="B76" s="3587"/>
      <c r="C76" s="3202" t="s">
        <v>3035</v>
      </c>
      <c r="D76" s="3202" t="s">
        <v>3036</v>
      </c>
      <c r="E76" s="3223">
        <v>0.15</v>
      </c>
      <c r="F76" s="3222">
        <v>20</v>
      </c>
    </row>
    <row r="77" spans="1:7" s="798" customFormat="1" ht="24">
      <c r="A77" s="3222">
        <v>5</v>
      </c>
      <c r="B77" s="3587"/>
      <c r="C77" s="3202" t="s">
        <v>3037</v>
      </c>
      <c r="D77" s="3202" t="s">
        <v>3038</v>
      </c>
      <c r="E77" s="3223">
        <v>0.15</v>
      </c>
      <c r="F77" s="3222">
        <v>20</v>
      </c>
    </row>
    <row r="78" spans="1:7" s="798" customFormat="1" ht="24">
      <c r="A78" s="3222">
        <v>6</v>
      </c>
      <c r="B78" s="3587"/>
      <c r="C78" s="3202" t="s">
        <v>3039</v>
      </c>
      <c r="D78" s="3202" t="s">
        <v>3040</v>
      </c>
      <c r="E78" s="3223">
        <v>0.15</v>
      </c>
      <c r="F78" s="3222">
        <v>20</v>
      </c>
    </row>
    <row r="79" spans="1:7" s="798" customFormat="1" ht="24">
      <c r="A79" s="3222">
        <v>7</v>
      </c>
      <c r="B79" s="3587"/>
      <c r="C79" s="3202" t="s">
        <v>3041</v>
      </c>
      <c r="D79" s="3202" t="s">
        <v>3042</v>
      </c>
      <c r="E79" s="3223">
        <v>0.15</v>
      </c>
      <c r="F79" s="3222">
        <v>20</v>
      </c>
    </row>
    <row r="80" spans="1:7" s="798" customFormat="1" ht="24">
      <c r="A80" s="3222">
        <v>8</v>
      </c>
      <c r="B80" s="3587"/>
      <c r="C80" s="3202" t="s">
        <v>3043</v>
      </c>
      <c r="D80" s="3202" t="s">
        <v>3044</v>
      </c>
      <c r="E80" s="3223">
        <v>0.1</v>
      </c>
      <c r="F80" s="3222">
        <v>15</v>
      </c>
    </row>
    <row r="81" spans="1:6" s="798" customFormat="1" ht="24">
      <c r="A81" s="3222">
        <v>9</v>
      </c>
      <c r="B81" s="3587"/>
      <c r="C81" s="3202" t="s">
        <v>3045</v>
      </c>
      <c r="D81" s="3202" t="s">
        <v>3046</v>
      </c>
      <c r="E81" s="3223">
        <v>0.1</v>
      </c>
      <c r="F81" s="3222">
        <v>15</v>
      </c>
    </row>
    <row r="82" spans="1:6" s="798" customFormat="1" ht="24">
      <c r="A82" s="3222">
        <v>10</v>
      </c>
      <c r="B82" s="3587"/>
      <c r="C82" s="3202" t="s">
        <v>3047</v>
      </c>
      <c r="D82" s="3202" t="s">
        <v>3048</v>
      </c>
      <c r="E82" s="3223">
        <v>0.1</v>
      </c>
      <c r="F82" s="3222">
        <v>15</v>
      </c>
    </row>
    <row r="83" spans="1:6" s="798" customFormat="1" ht="24">
      <c r="A83" s="3222">
        <v>11</v>
      </c>
      <c r="B83" s="3587"/>
      <c r="C83" s="3202" t="s">
        <v>3049</v>
      </c>
      <c r="D83" s="3202" t="s">
        <v>3050</v>
      </c>
      <c r="E83" s="3223">
        <v>0.1</v>
      </c>
      <c r="F83" s="3222">
        <v>15</v>
      </c>
    </row>
    <row r="84" spans="1:6" s="798" customFormat="1" ht="24">
      <c r="A84" s="3222">
        <v>12</v>
      </c>
      <c r="B84" s="3587"/>
      <c r="C84" s="3202" t="s">
        <v>3051</v>
      </c>
      <c r="D84" s="3202" t="s">
        <v>3052</v>
      </c>
      <c r="E84" s="3223">
        <v>0.1</v>
      </c>
      <c r="F84" s="3222">
        <v>15</v>
      </c>
    </row>
    <row r="85" spans="1:6" s="798" customFormat="1" ht="13.5">
      <c r="A85" s="3222">
        <v>13</v>
      </c>
      <c r="B85" s="3587"/>
      <c r="C85" s="3202" t="s">
        <v>3053</v>
      </c>
      <c r="D85" s="3202" t="s">
        <v>3054</v>
      </c>
      <c r="E85" s="3223">
        <v>0.1</v>
      </c>
      <c r="F85" s="3222">
        <v>15</v>
      </c>
    </row>
    <row r="86" spans="1:6" s="798" customFormat="1" ht="13.5">
      <c r="A86" s="3222">
        <v>14</v>
      </c>
      <c r="B86" s="3587"/>
      <c r="C86" s="3202" t="s">
        <v>3055</v>
      </c>
      <c r="D86" s="3202" t="s">
        <v>3056</v>
      </c>
      <c r="E86" s="3223">
        <v>0.1</v>
      </c>
      <c r="F86" s="3222">
        <v>15</v>
      </c>
    </row>
    <row r="87" spans="1:6" s="798" customFormat="1" ht="13.5">
      <c r="A87" s="3222">
        <v>15</v>
      </c>
      <c r="B87" s="3587"/>
      <c r="C87" s="3202" t="s">
        <v>3057</v>
      </c>
      <c r="D87" s="3202" t="s">
        <v>3058</v>
      </c>
      <c r="E87" s="3223">
        <v>0.1</v>
      </c>
      <c r="F87" s="3222">
        <v>15</v>
      </c>
    </row>
    <row r="88" spans="1:6" s="798" customFormat="1" ht="24">
      <c r="A88" s="3222">
        <v>16</v>
      </c>
      <c r="B88" s="3587"/>
      <c r="C88" s="3202" t="s">
        <v>3059</v>
      </c>
      <c r="D88" s="3202" t="s">
        <v>3060</v>
      </c>
      <c r="E88" s="3223">
        <v>0.1</v>
      </c>
      <c r="F88" s="3222">
        <v>15</v>
      </c>
    </row>
    <row r="89" spans="1:6" s="798" customFormat="1" ht="24">
      <c r="A89" s="3222">
        <v>17</v>
      </c>
      <c r="B89" s="3586"/>
      <c r="C89" s="3202" t="s">
        <v>3061</v>
      </c>
      <c r="D89" s="3202" t="s">
        <v>3062</v>
      </c>
      <c r="E89" s="3223">
        <v>0.1</v>
      </c>
      <c r="F89" s="3222">
        <v>15</v>
      </c>
    </row>
    <row r="90" spans="1:6" s="798" customFormat="1" ht="13.5">
      <c r="A90" s="3222">
        <v>18</v>
      </c>
      <c r="B90" s="3585" t="s">
        <v>3063</v>
      </c>
      <c r="C90" s="3202" t="s">
        <v>3064</v>
      </c>
      <c r="D90" s="3202" t="s">
        <v>3065</v>
      </c>
      <c r="E90" s="3223">
        <v>0.2</v>
      </c>
      <c r="F90" s="3222">
        <v>25</v>
      </c>
    </row>
    <row r="91" spans="1:6" s="798" customFormat="1" ht="24">
      <c r="A91" s="3222">
        <v>19</v>
      </c>
      <c r="B91" s="3587"/>
      <c r="C91" s="3202" t="s">
        <v>3066</v>
      </c>
      <c r="D91" s="3202" t="s">
        <v>3067</v>
      </c>
      <c r="E91" s="3223">
        <v>0.2</v>
      </c>
      <c r="F91" s="3222">
        <v>25</v>
      </c>
    </row>
    <row r="92" spans="1:6" s="798" customFormat="1" ht="13.5">
      <c r="A92" s="3222">
        <v>20</v>
      </c>
      <c r="B92" s="3587"/>
      <c r="C92" s="3202" t="s">
        <v>3068</v>
      </c>
      <c r="D92" s="3202" t="s">
        <v>3069</v>
      </c>
      <c r="E92" s="3223">
        <v>0.15</v>
      </c>
      <c r="F92" s="3222">
        <v>20</v>
      </c>
    </row>
    <row r="93" spans="1:6" s="798" customFormat="1" ht="24">
      <c r="A93" s="3222">
        <v>21</v>
      </c>
      <c r="B93" s="3587"/>
      <c r="C93" s="3202" t="s">
        <v>3070</v>
      </c>
      <c r="D93" s="3202" t="s">
        <v>3071</v>
      </c>
      <c r="E93" s="3223">
        <v>0.15</v>
      </c>
      <c r="F93" s="3222">
        <v>20</v>
      </c>
    </row>
    <row r="94" spans="1:6" s="798" customFormat="1" ht="24">
      <c r="A94" s="3222">
        <v>22</v>
      </c>
      <c r="B94" s="3587"/>
      <c r="C94" s="3202" t="s">
        <v>3072</v>
      </c>
      <c r="D94" s="3202" t="s">
        <v>3073</v>
      </c>
      <c r="E94" s="3223">
        <v>0.15</v>
      </c>
      <c r="F94" s="3222">
        <v>20</v>
      </c>
    </row>
    <row r="95" spans="1:6" s="798" customFormat="1" ht="36">
      <c r="A95" s="3222">
        <v>23</v>
      </c>
      <c r="B95" s="3587"/>
      <c r="C95" s="3202" t="s">
        <v>3074</v>
      </c>
      <c r="D95" s="3202" t="s">
        <v>3075</v>
      </c>
      <c r="E95" s="3223">
        <v>0.15</v>
      </c>
      <c r="F95" s="3222">
        <v>20</v>
      </c>
    </row>
    <row r="96" spans="1:6" s="798" customFormat="1" ht="13.5">
      <c r="A96" s="3222">
        <v>24</v>
      </c>
      <c r="B96" s="3587"/>
      <c r="C96" s="3202" t="s">
        <v>3076</v>
      </c>
      <c r="D96" s="3202" t="s">
        <v>3077</v>
      </c>
      <c r="E96" s="3223">
        <v>0.1</v>
      </c>
      <c r="F96" s="3222">
        <v>15</v>
      </c>
    </row>
    <row r="97" spans="1:6" s="798" customFormat="1" ht="24">
      <c r="A97" s="3222">
        <v>25</v>
      </c>
      <c r="B97" s="3587"/>
      <c r="C97" s="3202" t="s">
        <v>3078</v>
      </c>
      <c r="D97" s="3202" t="s">
        <v>3079</v>
      </c>
      <c r="E97" s="3223">
        <v>0.1</v>
      </c>
      <c r="F97" s="3222">
        <v>15</v>
      </c>
    </row>
    <row r="98" spans="1:6" s="798" customFormat="1" ht="24">
      <c r="A98" s="3222">
        <v>26</v>
      </c>
      <c r="B98" s="3587"/>
      <c r="C98" s="3202" t="s">
        <v>3080</v>
      </c>
      <c r="D98" s="3202" t="s">
        <v>3081</v>
      </c>
      <c r="E98" s="3223">
        <v>0.1</v>
      </c>
      <c r="F98" s="3222">
        <v>15</v>
      </c>
    </row>
    <row r="99" spans="1:6" s="798" customFormat="1" ht="24">
      <c r="A99" s="3222">
        <v>27</v>
      </c>
      <c r="B99" s="3587"/>
      <c r="C99" s="3202" t="s">
        <v>3082</v>
      </c>
      <c r="D99" s="3202" t="s">
        <v>3083</v>
      </c>
      <c r="E99" s="3223">
        <v>0.1</v>
      </c>
      <c r="F99" s="3222">
        <v>15</v>
      </c>
    </row>
    <row r="100" spans="1:6" s="798" customFormat="1" ht="24">
      <c r="A100" s="3222">
        <v>28</v>
      </c>
      <c r="B100" s="3587"/>
      <c r="C100" s="3202" t="s">
        <v>3084</v>
      </c>
      <c r="D100" s="3202" t="s">
        <v>3085</v>
      </c>
      <c r="E100" s="3223">
        <v>0.1</v>
      </c>
      <c r="F100" s="3222">
        <v>15</v>
      </c>
    </row>
    <row r="101" spans="1:6" s="798" customFormat="1" ht="24">
      <c r="A101" s="3222">
        <v>29</v>
      </c>
      <c r="B101" s="3587"/>
      <c r="C101" s="3202" t="s">
        <v>3086</v>
      </c>
      <c r="D101" s="3202" t="s">
        <v>3087</v>
      </c>
      <c r="E101" s="3223">
        <v>0.1</v>
      </c>
      <c r="F101" s="3222">
        <v>15</v>
      </c>
    </row>
    <row r="102" spans="1:6" s="798" customFormat="1" ht="24">
      <c r="A102" s="3222">
        <v>30</v>
      </c>
      <c r="B102" s="3587"/>
      <c r="C102" s="3202" t="s">
        <v>3088</v>
      </c>
      <c r="D102" s="3202" t="s">
        <v>3089</v>
      </c>
      <c r="E102" s="3223">
        <v>0.1</v>
      </c>
      <c r="F102" s="3222">
        <v>15</v>
      </c>
    </row>
    <row r="103" spans="1:6" s="798" customFormat="1" ht="24">
      <c r="A103" s="3222">
        <v>31</v>
      </c>
      <c r="B103" s="3587"/>
      <c r="C103" s="3202" t="s">
        <v>3090</v>
      </c>
      <c r="D103" s="3202" t="s">
        <v>3091</v>
      </c>
      <c r="E103" s="3223">
        <v>0.1</v>
      </c>
      <c r="F103" s="3222">
        <v>15</v>
      </c>
    </row>
    <row r="104" spans="1:6" s="798" customFormat="1" ht="24">
      <c r="A104" s="3222">
        <v>32</v>
      </c>
      <c r="B104" s="3587"/>
      <c r="C104" s="3202" t="s">
        <v>3092</v>
      </c>
      <c r="D104" s="3202" t="s">
        <v>3093</v>
      </c>
      <c r="E104" s="3223">
        <v>0.1</v>
      </c>
      <c r="F104" s="3222">
        <v>15</v>
      </c>
    </row>
    <row r="105" spans="1:6" s="798" customFormat="1" ht="24">
      <c r="A105" s="3222">
        <v>33</v>
      </c>
      <c r="B105" s="3587"/>
      <c r="C105" s="3202" t="s">
        <v>3094</v>
      </c>
      <c r="D105" s="3202" t="s">
        <v>3095</v>
      </c>
      <c r="E105" s="3223">
        <v>0.1</v>
      </c>
      <c r="F105" s="3222">
        <v>15</v>
      </c>
    </row>
    <row r="106" spans="1:6" s="798" customFormat="1" ht="24">
      <c r="A106" s="3222">
        <v>34</v>
      </c>
      <c r="B106" s="3586"/>
      <c r="C106" s="3202" t="s">
        <v>3096</v>
      </c>
      <c r="D106" s="3202" t="s">
        <v>3097</v>
      </c>
      <c r="E106" s="3223">
        <v>0.1</v>
      </c>
      <c r="F106" s="3222">
        <v>15</v>
      </c>
    </row>
    <row r="107" spans="1:6" s="798" customFormat="1" ht="24">
      <c r="A107" s="3222">
        <v>35</v>
      </c>
      <c r="B107" s="3585" t="s">
        <v>3098</v>
      </c>
      <c r="C107" s="3222" t="s">
        <v>3099</v>
      </c>
      <c r="D107" s="3202" t="s">
        <v>3100</v>
      </c>
      <c r="E107" s="3223">
        <v>0.15</v>
      </c>
      <c r="F107" s="3222">
        <v>20</v>
      </c>
    </row>
    <row r="108" spans="1:6" s="798" customFormat="1" ht="24">
      <c r="A108" s="3222">
        <v>36</v>
      </c>
      <c r="B108" s="3587"/>
      <c r="C108" s="3222" t="s">
        <v>3101</v>
      </c>
      <c r="D108" s="3202" t="s">
        <v>3102</v>
      </c>
      <c r="E108" s="3223">
        <v>0.15</v>
      </c>
      <c r="F108" s="3222">
        <v>20</v>
      </c>
    </row>
    <row r="109" spans="1:6" s="798" customFormat="1" ht="24">
      <c r="A109" s="3222">
        <v>37</v>
      </c>
      <c r="B109" s="3587"/>
      <c r="C109" s="3222" t="s">
        <v>3103</v>
      </c>
      <c r="D109" s="3202" t="s">
        <v>3104</v>
      </c>
      <c r="E109" s="3223">
        <v>0.15</v>
      </c>
      <c r="F109" s="3222">
        <v>20</v>
      </c>
    </row>
    <row r="110" spans="1:6" s="798" customFormat="1" ht="13.5">
      <c r="A110" s="3222">
        <v>38</v>
      </c>
      <c r="B110" s="3587"/>
      <c r="C110" s="3222" t="s">
        <v>3105</v>
      </c>
      <c r="D110" s="3202" t="s">
        <v>3106</v>
      </c>
      <c r="E110" s="3223">
        <v>0.1</v>
      </c>
      <c r="F110" s="3222">
        <v>15</v>
      </c>
    </row>
    <row r="111" spans="1:6" s="798" customFormat="1" ht="24">
      <c r="A111" s="3222">
        <v>39</v>
      </c>
      <c r="B111" s="3587"/>
      <c r="C111" s="3222" t="s">
        <v>3107</v>
      </c>
      <c r="D111" s="3202" t="s">
        <v>3108</v>
      </c>
      <c r="E111" s="3223">
        <v>0.1</v>
      </c>
      <c r="F111" s="3222">
        <v>15</v>
      </c>
    </row>
    <row r="112" spans="1:6" s="798" customFormat="1" ht="24">
      <c r="A112" s="3222">
        <v>40</v>
      </c>
      <c r="B112" s="3586"/>
      <c r="C112" s="3222" t="s">
        <v>3109</v>
      </c>
      <c r="D112" s="3202" t="s">
        <v>3110</v>
      </c>
      <c r="E112" s="3223">
        <v>0.1</v>
      </c>
      <c r="F112" s="3222">
        <v>15</v>
      </c>
    </row>
    <row r="113" spans="1:6" s="798" customFormat="1" ht="24">
      <c r="A113" s="3222">
        <v>41</v>
      </c>
      <c r="B113" s="3584" t="s">
        <v>3111</v>
      </c>
      <c r="C113" s="3222" t="s">
        <v>3112</v>
      </c>
      <c r="D113" s="3202" t="s">
        <v>3113</v>
      </c>
      <c r="E113" s="3223">
        <v>0.1</v>
      </c>
      <c r="F113" s="3222">
        <v>15</v>
      </c>
    </row>
    <row r="114" spans="1:6" s="798" customFormat="1" ht="13.5">
      <c r="A114" s="3222">
        <v>42</v>
      </c>
      <c r="B114" s="3584"/>
      <c r="C114" s="3222" t="s">
        <v>3114</v>
      </c>
      <c r="D114" s="3202" t="s">
        <v>3115</v>
      </c>
      <c r="E114" s="3223">
        <v>0.1</v>
      </c>
      <c r="F114" s="3222">
        <v>15</v>
      </c>
    </row>
    <row r="115" spans="1:6" s="798" customFormat="1" ht="24">
      <c r="A115" s="3222">
        <v>43</v>
      </c>
      <c r="B115" s="3584"/>
      <c r="C115" s="3222" t="s">
        <v>3116</v>
      </c>
      <c r="D115" s="3202" t="s">
        <v>3117</v>
      </c>
      <c r="E115" s="3223">
        <v>0.1</v>
      </c>
      <c r="F115" s="3222">
        <v>15</v>
      </c>
    </row>
    <row r="116" spans="1:6" s="798" customFormat="1" ht="24">
      <c r="A116" s="3222">
        <v>44</v>
      </c>
      <c r="B116" s="3585" t="s">
        <v>3118</v>
      </c>
      <c r="C116" s="3222" t="s">
        <v>3119</v>
      </c>
      <c r="D116" s="3202" t="s">
        <v>3120</v>
      </c>
      <c r="E116" s="3223">
        <v>0.1</v>
      </c>
      <c r="F116" s="3222">
        <v>15</v>
      </c>
    </row>
    <row r="117" spans="1:6" s="798" customFormat="1" ht="24">
      <c r="A117" s="3222">
        <v>45</v>
      </c>
      <c r="B117" s="3586"/>
      <c r="C117" s="3202" t="s">
        <v>3121</v>
      </c>
      <c r="D117" s="3202" t="s">
        <v>3122</v>
      </c>
      <c r="E117" s="3223">
        <v>0.1</v>
      </c>
      <c r="F117" s="3222">
        <v>15</v>
      </c>
    </row>
    <row r="118" spans="1:6" s="798" customFormat="1" ht="24">
      <c r="A118" s="3222">
        <v>46</v>
      </c>
      <c r="B118" s="3585" t="s">
        <v>3123</v>
      </c>
      <c r="C118" s="3222" t="s">
        <v>3124</v>
      </c>
      <c r="D118" s="3202" t="s">
        <v>3125</v>
      </c>
      <c r="E118" s="3223">
        <v>0.1</v>
      </c>
      <c r="F118" s="3222">
        <v>15</v>
      </c>
    </row>
    <row r="119" spans="1:6" s="798" customFormat="1" ht="24">
      <c r="A119" s="3222">
        <v>47</v>
      </c>
      <c r="B119" s="3586"/>
      <c r="C119" s="3222" t="s">
        <v>3126</v>
      </c>
      <c r="D119" s="3202" t="s">
        <v>3127</v>
      </c>
      <c r="E119" s="3223">
        <v>0.1</v>
      </c>
      <c r="F119" s="3222">
        <v>15</v>
      </c>
    </row>
    <row r="120" spans="1:6" s="798" customFormat="1" ht="24">
      <c r="A120" s="3222">
        <v>48</v>
      </c>
      <c r="B120" s="3585" t="s">
        <v>3128</v>
      </c>
      <c r="C120" s="3222" t="s">
        <v>3129</v>
      </c>
      <c r="D120" s="3202" t="s">
        <v>3130</v>
      </c>
      <c r="E120" s="3223">
        <v>0.1</v>
      </c>
      <c r="F120" s="3222">
        <v>15</v>
      </c>
    </row>
    <row r="121" spans="1:6" s="798" customFormat="1" ht="13.5">
      <c r="A121" s="3222">
        <v>49</v>
      </c>
      <c r="B121" s="3586"/>
      <c r="C121" s="3222" t="s">
        <v>3131</v>
      </c>
      <c r="D121" s="3202" t="s">
        <v>3132</v>
      </c>
      <c r="E121" s="3223">
        <v>0.1</v>
      </c>
      <c r="F121" s="3222">
        <v>15</v>
      </c>
    </row>
    <row r="122" spans="1:6" s="798" customFormat="1" ht="24">
      <c r="A122" s="3222">
        <v>50</v>
      </c>
      <c r="B122" s="3584" t="s">
        <v>3133</v>
      </c>
      <c r="C122" s="3222" t="s">
        <v>3134</v>
      </c>
      <c r="D122" s="3202" t="s">
        <v>3135</v>
      </c>
      <c r="E122" s="3223">
        <v>0.1</v>
      </c>
      <c r="F122" s="3222">
        <v>15</v>
      </c>
    </row>
    <row r="123" spans="1:6" s="798" customFormat="1" ht="24">
      <c r="A123" s="3222">
        <v>51</v>
      </c>
      <c r="B123" s="3584"/>
      <c r="C123" s="3222" t="s">
        <v>3136</v>
      </c>
      <c r="D123" s="3202" t="s">
        <v>3137</v>
      </c>
      <c r="E123" s="3223">
        <v>0.1</v>
      </c>
      <c r="F123" s="3222">
        <v>15</v>
      </c>
    </row>
    <row r="124" spans="1:6" s="798" customFormat="1" ht="24">
      <c r="A124" s="3222">
        <v>52</v>
      </c>
      <c r="B124" s="3584" t="s">
        <v>3138</v>
      </c>
      <c r="C124" s="3222" t="s">
        <v>3139</v>
      </c>
      <c r="D124" s="3202" t="s">
        <v>3140</v>
      </c>
      <c r="E124" s="3223">
        <v>0.1</v>
      </c>
      <c r="F124" s="3222">
        <v>15</v>
      </c>
    </row>
    <row r="125" spans="1:6" s="798" customFormat="1" ht="24">
      <c r="A125" s="3222">
        <v>53</v>
      </c>
      <c r="B125" s="3584"/>
      <c r="C125" s="3222" t="s">
        <v>3141</v>
      </c>
      <c r="D125" s="3202" t="s">
        <v>3142</v>
      </c>
      <c r="E125" s="3223">
        <v>0.1</v>
      </c>
      <c r="F125" s="3222">
        <v>15</v>
      </c>
    </row>
    <row r="126" spans="1:6" ht="24">
      <c r="A126" s="3222">
        <v>54</v>
      </c>
      <c r="B126" s="3222" t="s">
        <v>3143</v>
      </c>
      <c r="C126" s="3222" t="s">
        <v>3144</v>
      </c>
      <c r="D126" s="3202" t="s">
        <v>3145</v>
      </c>
      <c r="E126" s="3223">
        <v>0.1</v>
      </c>
      <c r="F126" s="3222">
        <v>15</v>
      </c>
    </row>
    <row r="127" spans="1:6" ht="13.5">
      <c r="A127" s="3222">
        <v>55</v>
      </c>
      <c r="B127" s="3584" t="s">
        <v>3146</v>
      </c>
      <c r="C127" s="3222" t="s">
        <v>3147</v>
      </c>
      <c r="D127" s="3202" t="s">
        <v>3148</v>
      </c>
      <c r="E127" s="3223">
        <v>0.1</v>
      </c>
      <c r="F127" s="3222">
        <v>15</v>
      </c>
    </row>
    <row r="128" spans="1:6" ht="13.5">
      <c r="A128" s="3222">
        <v>56</v>
      </c>
      <c r="B128" s="3584"/>
      <c r="C128" s="3222" t="s">
        <v>3149</v>
      </c>
      <c r="D128" s="3202" t="s">
        <v>3150</v>
      </c>
      <c r="E128" s="3223">
        <v>0.1</v>
      </c>
      <c r="F128" s="3222">
        <v>15</v>
      </c>
    </row>
    <row r="129" spans="1:6" ht="24">
      <c r="A129" s="3222">
        <v>57</v>
      </c>
      <c r="B129" s="3584"/>
      <c r="C129" s="3222" t="s">
        <v>3151</v>
      </c>
      <c r="D129" s="3202" t="s">
        <v>3152</v>
      </c>
      <c r="E129" s="3223">
        <v>0.1</v>
      </c>
      <c r="F129" s="3222">
        <v>15</v>
      </c>
    </row>
    <row r="130" spans="1:6" ht="24">
      <c r="A130" s="3222">
        <v>58</v>
      </c>
      <c r="B130" s="3584" t="s">
        <v>3153</v>
      </c>
      <c r="C130" s="3222" t="s">
        <v>3154</v>
      </c>
      <c r="D130" s="3202" t="s">
        <v>3155</v>
      </c>
      <c r="E130" s="3223">
        <v>0.1</v>
      </c>
      <c r="F130" s="3222">
        <v>15</v>
      </c>
    </row>
    <row r="131" spans="1:6" ht="24">
      <c r="A131" s="3222">
        <v>59</v>
      </c>
      <c r="B131" s="3584"/>
      <c r="C131" s="3222" t="s">
        <v>3156</v>
      </c>
      <c r="D131" s="3202" t="s">
        <v>3157</v>
      </c>
      <c r="E131" s="3223">
        <v>0.1</v>
      </c>
      <c r="F131" s="3222">
        <v>15</v>
      </c>
    </row>
    <row r="132" spans="1:6" ht="24">
      <c r="A132" s="3222">
        <v>60</v>
      </c>
      <c r="B132" s="3585" t="s">
        <v>3158</v>
      </c>
      <c r="C132" s="3222" t="s">
        <v>3159</v>
      </c>
      <c r="D132" s="3202" t="s">
        <v>3160</v>
      </c>
      <c r="E132" s="3223">
        <v>0.1</v>
      </c>
      <c r="F132" s="3222">
        <v>15</v>
      </c>
    </row>
    <row r="133" spans="1:6" ht="24">
      <c r="A133" s="3222">
        <v>61</v>
      </c>
      <c r="B133" s="3586"/>
      <c r="C133" s="3222" t="s">
        <v>3161</v>
      </c>
      <c r="D133" s="3202" t="s">
        <v>3162</v>
      </c>
      <c r="E133" s="3223">
        <v>0.1</v>
      </c>
      <c r="F133" s="3222">
        <v>15</v>
      </c>
    </row>
    <row r="134" spans="1:6" ht="24">
      <c r="A134" s="3222">
        <v>62</v>
      </c>
      <c r="B134" s="3222" t="s">
        <v>3163</v>
      </c>
      <c r="C134" s="3222" t="s">
        <v>3164</v>
      </c>
      <c r="D134" s="3202" t="s">
        <v>3165</v>
      </c>
      <c r="E134" s="3223">
        <v>0.1</v>
      </c>
      <c r="F134" s="3222">
        <v>15</v>
      </c>
    </row>
    <row r="135" spans="1:6" ht="24">
      <c r="A135" s="3222">
        <v>63</v>
      </c>
      <c r="B135" s="3584" t="s">
        <v>3166</v>
      </c>
      <c r="C135" s="3222" t="s">
        <v>3167</v>
      </c>
      <c r="D135" s="3202" t="s">
        <v>3168</v>
      </c>
      <c r="E135" s="3223">
        <v>0.1</v>
      </c>
      <c r="F135" s="3222">
        <v>15</v>
      </c>
    </row>
    <row r="136" spans="1:6" ht="13.5">
      <c r="A136" s="3222">
        <v>64</v>
      </c>
      <c r="B136" s="3584"/>
      <c r="C136" s="3222" t="s">
        <v>3169</v>
      </c>
      <c r="D136" s="3202" t="s">
        <v>3170</v>
      </c>
      <c r="E136" s="3223">
        <v>0.1</v>
      </c>
      <c r="F136" s="3222">
        <v>15</v>
      </c>
    </row>
    <row r="137" spans="1:6" ht="24">
      <c r="A137" s="3222">
        <v>65</v>
      </c>
      <c r="B137" s="3222" t="s">
        <v>3171</v>
      </c>
      <c r="C137" s="3222" t="s">
        <v>3172</v>
      </c>
      <c r="D137" s="3202" t="s">
        <v>3173</v>
      </c>
      <c r="E137" s="3223">
        <v>0.1</v>
      </c>
      <c r="F137" s="3222">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t="e">
        <f>SUMPRODUCT((A105:A204=ROUNDDOWN(基准地价修正!G3,1))*(B104:M104=基准地价修正!G2)*(B105:M204))</f>
        <v>#DIV/0!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6"/>
      <c r="B4" s="3274" t="s">
        <v>1354</v>
      </c>
      <c r="C4" s="3274"/>
      <c r="D4" s="3274"/>
      <c r="E4" s="1626"/>
    </row>
    <row r="5" spans="1:5" ht="16.5" thickTop="1">
      <c r="A5" s="1624"/>
      <c r="B5" s="3272" t="s">
        <v>1346</v>
      </c>
      <c r="C5" s="1627" t="s">
        <v>1347</v>
      </c>
      <c r="D5" s="937">
        <f ca="1">结果表!H101</f>
        <v>7733</v>
      </c>
      <c r="E5" s="1624"/>
    </row>
    <row r="6" spans="1:5" ht="15.75">
      <c r="A6" s="1624"/>
      <c r="B6" s="3272"/>
      <c r="C6" s="1627" t="s">
        <v>1348</v>
      </c>
      <c r="D6" s="937" t="str">
        <f ca="1">NUMBERSTRING(INT(D5*10000),2)&amp;"元整"</f>
        <v>柒仟柒佰叁拾叁万元整</v>
      </c>
      <c r="E6" s="1624"/>
    </row>
    <row r="7" spans="1:5" ht="15.75">
      <c r="A7" s="1624"/>
      <c r="B7" s="3277"/>
      <c r="C7" s="1628" t="s">
        <v>1349</v>
      </c>
      <c r="D7" s="938">
        <f ca="1">结果表!H102</f>
        <v>20158</v>
      </c>
      <c r="E7" s="1624"/>
    </row>
    <row r="8" spans="1:5" ht="15.75">
      <c r="A8" s="1624"/>
      <c r="B8" s="3278" t="str">
        <f>结果表!E103</f>
        <v>2.估价师知悉的法定优先受偿款</v>
      </c>
      <c r="C8" s="1629" t="s">
        <v>1350</v>
      </c>
      <c r="D8" s="938">
        <f>结果表!H103</f>
        <v>0</v>
      </c>
      <c r="E8" s="1624"/>
    </row>
    <row r="9" spans="1:5" ht="15.75">
      <c r="A9" s="1624"/>
      <c r="B9" s="3280"/>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71" t="str">
        <f>结果表!E107</f>
        <v>3.房地产抵押价值</v>
      </c>
      <c r="C13" s="1632" t="s">
        <v>1347</v>
      </c>
      <c r="D13" s="940">
        <f ca="1">结果表!H107</f>
        <v>7733</v>
      </c>
      <c r="E13" s="1624"/>
    </row>
    <row r="14" spans="1:5" ht="15.75">
      <c r="A14" s="1624"/>
      <c r="B14" s="3272"/>
      <c r="C14" s="1627" t="s">
        <v>1348</v>
      </c>
      <c r="D14" s="937" t="str">
        <f ca="1">NUMBERSTRING(INT(D13*10000),2)&amp;"元整"</f>
        <v>柒仟柒佰叁拾叁万元整</v>
      </c>
      <c r="E14" s="1624"/>
    </row>
    <row r="15" spans="1:5" ht="15">
      <c r="A15" s="1624"/>
      <c r="B15" s="3277"/>
      <c r="C15" s="1628" t="s">
        <v>1358</v>
      </c>
      <c r="D15" s="946">
        <f ca="1">结果表!H108</f>
        <v>20158</v>
      </c>
      <c r="E15" s="1624"/>
    </row>
    <row r="16" spans="1:5" ht="15">
      <c r="A16" s="1624"/>
      <c r="B16" s="3278" t="str">
        <f>结果表!E109</f>
        <v>——</v>
      </c>
      <c r="C16" s="1632" t="s">
        <v>1359</v>
      </c>
      <c r="D16" s="1633" t="str">
        <f>结果表!H109</f>
        <v>——</v>
      </c>
      <c r="E16" s="1624"/>
    </row>
    <row r="17" spans="1:5" ht="15.75">
      <c r="A17" s="1624"/>
      <c r="B17" s="3279"/>
      <c r="C17" s="1627" t="s">
        <v>1360</v>
      </c>
      <c r="D17" s="937" t="e">
        <f>NUMBERSTRING(INT(D16*10000),2)&amp;"元整"</f>
        <v>#VALUE!</v>
      </c>
      <c r="E17" s="1624"/>
    </row>
    <row r="18" spans="1:5" ht="15">
      <c r="A18" s="1624"/>
      <c r="B18" s="3280"/>
      <c r="C18" s="1628" t="s">
        <v>1349</v>
      </c>
      <c r="D18" s="946" t="str">
        <f>结果表!H110</f>
        <v>——</v>
      </c>
      <c r="E18" s="1624"/>
    </row>
    <row r="19" spans="1:5" ht="15.75">
      <c r="A19" s="1624"/>
      <c r="B19" s="3271" t="str">
        <f>结果表!E111</f>
        <v>——</v>
      </c>
      <c r="C19" s="1632" t="s">
        <v>1347</v>
      </c>
      <c r="D19" s="938" t="str">
        <f>结果表!H111</f>
        <v>——</v>
      </c>
      <c r="E19" s="1624"/>
    </row>
    <row r="20" spans="1:5" ht="15.75">
      <c r="A20" s="1624"/>
      <c r="B20" s="3272"/>
      <c r="C20" s="1627" t="s">
        <v>1360</v>
      </c>
      <c r="D20" s="937" t="e">
        <f>NUMBERSTRING(INT(D19*10000),2)&amp;"元整"</f>
        <v>#VALUE!</v>
      </c>
      <c r="E20" s="1624"/>
    </row>
    <row r="21" spans="1:5" ht="15.75" thickBot="1">
      <c r="A21" s="1624"/>
      <c r="B21" s="3273"/>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0" t="s">
        <v>2580</v>
      </c>
      <c r="B1" s="2310"/>
      <c r="C1" s="2310"/>
      <c r="D1" s="2310"/>
      <c r="E1" s="2310"/>
      <c r="F1" s="2970"/>
      <c r="G1" s="2970"/>
      <c r="H1" s="2970"/>
      <c r="I1" s="2970"/>
      <c r="J1" s="2970"/>
      <c r="K1" s="2970"/>
      <c r="L1" s="2970"/>
      <c r="M1" s="2970"/>
      <c r="N1" s="2970"/>
      <c r="O1" s="2970"/>
      <c r="P1" s="2970"/>
    </row>
    <row r="2" spans="1:16" ht="15.75">
      <c r="A2" s="2308" t="s">
        <v>2572</v>
      </c>
      <c r="B2" s="2774" t="e">
        <f ca="1">SUMIF(B6:B13,"&lt;&gt;#ref!",B6:B13)</f>
        <v>#DIV/0!</v>
      </c>
      <c r="C2" s="2308" t="s">
        <v>2573</v>
      </c>
      <c r="D2" s="2308" t="s">
        <v>2574</v>
      </c>
      <c r="E2" s="2784">
        <f ca="1">SUMIF(E6:E13,"&lt;&gt;#ref!",E6:E13)</f>
        <v>0</v>
      </c>
      <c r="F2" s="2970"/>
      <c r="G2" s="2970"/>
      <c r="H2" s="2970"/>
      <c r="I2" s="2970"/>
      <c r="J2" s="2970"/>
      <c r="K2" s="2970"/>
      <c r="L2" s="2970"/>
      <c r="M2" s="2970"/>
      <c r="N2" s="2970"/>
      <c r="O2" s="2970"/>
      <c r="P2" s="2970"/>
    </row>
    <row r="3" spans="1:16" ht="15.75">
      <c r="A3" s="2308" t="s">
        <v>2575</v>
      </c>
      <c r="B3" s="2774" t="e">
        <f ca="1">ROUND(B2*10000/E2,0)</f>
        <v>#DIV/0!</v>
      </c>
      <c r="C3" s="2308"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09"/>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08"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08"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08"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08"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08"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08"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08"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08"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601" t="s">
        <v>877</v>
      </c>
      <c r="C1" s="3601"/>
      <c r="D1" s="3601"/>
      <c r="E1" s="3601"/>
      <c r="F1" s="3601"/>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2613</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2941</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2">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2614</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2940</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2">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2817</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7">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2816</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6">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2815</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90">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2813</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9">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2812</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6">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2630</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2628</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2627</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2626</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2624</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2622</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2625</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597">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2620</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597"/>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2619</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597"/>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2612</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06"/>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2610</v>
      </c>
      <c r="B22" s="2385">
        <v>439</v>
      </c>
      <c r="C22" s="2385">
        <v>327</v>
      </c>
      <c r="D22" s="2385">
        <f>C22</f>
        <v>327</v>
      </c>
      <c r="E22" s="2385">
        <v>627</v>
      </c>
      <c r="F22" s="2386">
        <v>283</v>
      </c>
      <c r="G22" s="3602">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2611</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597"/>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597"/>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06"/>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602">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597"/>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597"/>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598"/>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596">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597"/>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597"/>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598"/>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596">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597"/>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597"/>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598"/>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603">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604"/>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604"/>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605"/>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596">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597"/>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597"/>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598"/>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596">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597">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597">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598">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596">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597">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597">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598">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596">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597">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597">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598">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596">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597">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597">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598">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596">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597">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597">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598">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596">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597">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597">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598">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596">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597">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597">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598">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596">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597">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597">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598">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596">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597">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597">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598">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596">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597">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597">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598">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2" t="s">
        <v>2582</v>
      </c>
      <c r="C1" s="3610" t="s">
        <v>2583</v>
      </c>
      <c r="D1" s="3611"/>
      <c r="E1" s="3611"/>
      <c r="F1" s="3611"/>
      <c r="G1" s="3611"/>
      <c r="H1" s="3611"/>
      <c r="I1" s="3611"/>
      <c r="J1" s="3611"/>
      <c r="K1" s="3611"/>
      <c r="L1" s="3611"/>
      <c r="M1" s="3611"/>
      <c r="N1" s="3611"/>
      <c r="O1" s="3611"/>
      <c r="P1" s="3611"/>
      <c r="Q1" s="3611"/>
      <c r="R1" s="3611"/>
      <c r="S1" s="3612"/>
      <c r="T1" s="1092" t="s">
        <v>2584</v>
      </c>
    </row>
    <row r="2" spans="1:45" s="663" customFormat="1">
      <c r="A2" s="1093"/>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5"/>
      <c r="B3" s="664"/>
      <c r="C3" s="665"/>
      <c r="D3" s="666"/>
      <c r="E3" s="666"/>
      <c r="F3" s="1423"/>
      <c r="G3" s="1423"/>
      <c r="H3" s="1423"/>
      <c r="I3" s="1423"/>
      <c r="J3" s="1423"/>
      <c r="K3" s="1423"/>
      <c r="L3" s="1424"/>
      <c r="M3" s="1425"/>
      <c r="N3" s="1425"/>
      <c r="O3" s="1423"/>
      <c r="P3" s="1423"/>
      <c r="Q3" s="1423"/>
      <c r="R3" s="1423"/>
      <c r="S3" s="142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6"/>
      <c r="B4" s="1097"/>
      <c r="C4" s="1098"/>
      <c r="D4" s="1099"/>
      <c r="E4" s="1099"/>
      <c r="F4" s="1427"/>
      <c r="G4" s="1427"/>
      <c r="H4" s="1427"/>
      <c r="I4" s="1427"/>
      <c r="J4" s="1427"/>
      <c r="K4" s="1427"/>
      <c r="L4" s="1427"/>
      <c r="M4" s="1428"/>
      <c r="N4" s="1428"/>
      <c r="O4" s="1427"/>
      <c r="P4" s="1427"/>
      <c r="Q4" s="1427"/>
      <c r="R4" s="1427"/>
      <c r="S4" s="1429"/>
      <c r="T4" s="110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3"/>
      <c r="B5" s="1454" t="s">
        <v>2586</v>
      </c>
      <c r="C5" s="1104"/>
      <c r="D5" s="1105"/>
      <c r="E5" s="1105"/>
      <c r="F5" s="1430"/>
      <c r="G5" s="1430"/>
      <c r="H5" s="1430"/>
      <c r="I5" s="1430"/>
      <c r="J5" s="1430"/>
      <c r="K5" s="1430"/>
      <c r="L5" s="1431"/>
      <c r="M5" s="1432"/>
      <c r="N5" s="1432"/>
      <c r="O5" s="1430"/>
      <c r="P5" s="1430"/>
      <c r="Q5" s="1430"/>
      <c r="R5" s="1430"/>
      <c r="S5" s="1433"/>
      <c r="T5" s="110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3"/>
      <c r="B6" s="1008"/>
      <c r="C6" s="1014">
        <v>100</v>
      </c>
      <c r="D6" s="1011">
        <f>C6-$T5</f>
        <v>100</v>
      </c>
      <c r="E6" s="1011">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3"/>
      <c r="B7" s="1455" t="s">
        <v>2587</v>
      </c>
      <c r="C7" s="1013"/>
      <c r="D7" s="1007"/>
      <c r="E7" s="1007"/>
      <c r="F7" s="1435"/>
      <c r="G7" s="1435"/>
      <c r="H7" s="1435"/>
      <c r="I7" s="1435"/>
      <c r="J7" s="1435"/>
      <c r="K7" s="1435"/>
      <c r="L7" s="1435"/>
      <c r="M7" s="1436"/>
      <c r="N7" s="1437"/>
      <c r="O7" s="1438"/>
      <c r="P7" s="1439"/>
      <c r="Q7" s="1440"/>
      <c r="R7" s="1441"/>
      <c r="S7" s="144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3"/>
      <c r="B9" s="1455" t="s">
        <v>2588</v>
      </c>
      <c r="C9" s="1013"/>
      <c r="D9" s="1007"/>
      <c r="E9" s="1007"/>
      <c r="F9" s="1435"/>
      <c r="G9" s="1435"/>
      <c r="H9" s="1435"/>
      <c r="I9" s="1435"/>
      <c r="J9" s="1435"/>
      <c r="K9" s="1435"/>
      <c r="L9" s="1443"/>
      <c r="M9" s="1436"/>
      <c r="N9" s="1437"/>
      <c r="O9" s="1438"/>
      <c r="P9" s="1439"/>
      <c r="Q9" s="1440"/>
      <c r="R9" s="1441"/>
      <c r="S9" s="144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3"/>
      <c r="B11" s="1454" t="s">
        <v>2589</v>
      </c>
      <c r="C11" s="1104"/>
      <c r="D11" s="1105"/>
      <c r="E11" s="1105"/>
      <c r="F11" s="1105"/>
      <c r="G11" s="1105"/>
      <c r="H11" s="1105"/>
      <c r="I11" s="1105"/>
      <c r="J11" s="1105"/>
      <c r="K11" s="1105"/>
      <c r="L11" s="1105"/>
      <c r="M11" s="1106"/>
      <c r="N11" s="1110"/>
      <c r="O11" s="1111"/>
      <c r="P11" s="1112"/>
      <c r="Q11" s="1113"/>
      <c r="R11" s="1114"/>
      <c r="S11" s="1115"/>
      <c r="T11" s="110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3"/>
      <c r="B13" s="1454" t="s">
        <v>2590</v>
      </c>
      <c r="C13" s="1104"/>
      <c r="D13" s="1105"/>
      <c r="E13" s="1105"/>
      <c r="F13" s="1105"/>
      <c r="G13" s="1105"/>
      <c r="H13" s="1105"/>
      <c r="I13" s="1105"/>
      <c r="J13" s="1105"/>
      <c r="K13" s="1105"/>
      <c r="L13" s="1105"/>
      <c r="M13" s="1106"/>
      <c r="N13" s="1110"/>
      <c r="O13" s="1111"/>
      <c r="P13" s="1112"/>
      <c r="Q13" s="1113"/>
      <c r="R13" s="1114"/>
      <c r="S13" s="1115"/>
      <c r="T13" s="111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3"/>
      <c r="B15" s="1454" t="s">
        <v>2591</v>
      </c>
      <c r="C15" s="1104"/>
      <c r="D15" s="1105"/>
      <c r="E15" s="1105"/>
      <c r="F15" s="1105"/>
      <c r="G15" s="1105"/>
      <c r="H15" s="1105"/>
      <c r="I15" s="1105"/>
      <c r="J15" s="1105"/>
      <c r="K15" s="1105"/>
      <c r="L15" s="1105"/>
      <c r="M15" s="1106"/>
      <c r="N15" s="1110"/>
      <c r="O15" s="1111"/>
      <c r="P15" s="1112"/>
      <c r="Q15" s="1113"/>
      <c r="R15" s="1114"/>
      <c r="S15" s="1115"/>
      <c r="T15" s="111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1" t="s">
        <v>2592</v>
      </c>
      <c r="B17" s="2312" t="s">
        <v>2593</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5"/>
      <c r="AS17" s="735"/>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5"/>
      <c r="AS18" s="735"/>
    </row>
    <row r="19" spans="1:45">
      <c r="A19" s="134"/>
      <c r="B19" s="164"/>
      <c r="C19" s="164"/>
      <c r="D19" s="2313" t="s">
        <v>2594</v>
      </c>
      <c r="E19" s="1472"/>
      <c r="F19" s="1472"/>
      <c r="G19" s="1472"/>
      <c r="H19" s="1168"/>
      <c r="I19" s="164"/>
      <c r="J19" s="164"/>
      <c r="K19" s="164"/>
      <c r="L19" s="164"/>
      <c r="M19" s="164"/>
      <c r="N19" s="164"/>
      <c r="O19" s="164"/>
      <c r="P19" s="164"/>
      <c r="Q19" s="164"/>
      <c r="R19" s="727"/>
      <c r="S19" s="134"/>
    </row>
    <row r="20" spans="1:45" ht="16.5" thickBot="1">
      <c r="A20" s="671" t="s">
        <v>2595</v>
      </c>
      <c r="B20" s="300" t="e">
        <f ca="1">IF(D20="——",S22,S22-F20)</f>
        <v>#REF!</v>
      </c>
      <c r="C20" s="164"/>
      <c r="D20" s="2314"/>
      <c r="E20" s="1473"/>
      <c r="F20" s="1092" t="e">
        <f ca="1">SUMIF(INDIRECT("'"&amp;H20&amp;"'"&amp;"!A:A"),"承租人权益价值",INDIRECT("'"&amp;H20&amp;"'"&amp;"!c:c"))</f>
        <v>#REF!</v>
      </c>
      <c r="G20" s="1092" t="s">
        <v>2596</v>
      </c>
      <c r="H20" s="2315"/>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7" t="s">
        <v>33</v>
      </c>
      <c r="D22" s="3608"/>
      <c r="E22" s="3608"/>
      <c r="F22" s="3608"/>
      <c r="G22" s="3608"/>
      <c r="H22" s="3608"/>
      <c r="I22" s="3608"/>
      <c r="J22" s="3608"/>
      <c r="K22" s="3608"/>
      <c r="L22" s="3608"/>
      <c r="M22" s="3608"/>
      <c r="N22" s="3608"/>
      <c r="O22" s="3608"/>
      <c r="P22" s="3608"/>
      <c r="Q22" s="360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31826</v>
      </c>
      <c r="C2" s="2" t="s">
        <v>133</v>
      </c>
      <c r="D2" s="205"/>
      <c r="E2" s="205"/>
      <c r="F2" s="205"/>
      <c r="G2" s="205"/>
    </row>
    <row r="3" spans="1:7" s="206" customFormat="1" ht="18" customHeight="1" thickBot="1">
      <c r="A3" s="209" t="s">
        <v>85</v>
      </c>
      <c r="B3" s="210">
        <f ca="1">ROUND(B2*10000/'数据-汇总表'!E3,0)</f>
        <v>82964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160</v>
      </c>
      <c r="F9" s="227"/>
      <c r="G9" s="232"/>
    </row>
    <row r="10" spans="1:7" s="220" customFormat="1" ht="13.5" customHeight="1">
      <c r="A10" s="865" t="s">
        <v>620</v>
      </c>
      <c r="B10" s="230" t="s">
        <v>94</v>
      </c>
      <c r="C10" s="231">
        <f>ROUND(D10*E10/10000,0)</f>
        <v>77</v>
      </c>
      <c r="D10" s="932">
        <f>'数据-汇总表'!E6</f>
        <v>3836.1200000000003</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77</v>
      </c>
      <c r="D19" s="936">
        <f>'数据-汇总表'!E3</f>
        <v>3836.1200000000003</v>
      </c>
      <c r="E19" s="217">
        <f>'数据-取费表'!B31</f>
        <v>200</v>
      </c>
      <c r="F19" s="237"/>
      <c r="G19" s="1" t="s">
        <v>861</v>
      </c>
    </row>
    <row r="20" spans="1:7" s="220" customFormat="1" ht="13.5" customHeight="1">
      <c r="A20" s="863" t="s">
        <v>844</v>
      </c>
      <c r="B20" s="216" t="s">
        <v>104</v>
      </c>
      <c r="C20" s="238">
        <f>ROUND((C5+C19)*F20,0)</f>
        <v>414</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1792</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7</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4220</v>
      </c>
      <c r="D27" s="241">
        <f>C29</f>
        <v>4.0000000000000001E-3</v>
      </c>
      <c r="E27" s="242" t="s">
        <v>126</v>
      </c>
      <c r="F27" s="252">
        <f>'数据-取费表'!Q16</f>
        <v>0.2</v>
      </c>
      <c r="G27" s="253" t="s">
        <v>856</v>
      </c>
    </row>
    <row r="28" spans="1:7" s="220" customFormat="1" ht="13.5" customHeight="1">
      <c r="A28" s="866" t="s">
        <v>613</v>
      </c>
      <c r="B28" s="254" t="s">
        <v>849</v>
      </c>
      <c r="C28" s="255">
        <f>ROUND((C5+C19+C20)*F27*'数据-取费表'!B21/'数据-取费表'!B20,0)</f>
        <v>4220</v>
      </c>
      <c r="D28" s="241"/>
      <c r="E28" s="242"/>
      <c r="F28" s="252"/>
      <c r="G28" s="253"/>
    </row>
    <row r="29" spans="1:7" s="220" customFormat="1" ht="13.5" customHeight="1">
      <c r="A29" s="866" t="s">
        <v>611</v>
      </c>
      <c r="B29" s="254" t="s">
        <v>850</v>
      </c>
      <c r="C29" s="244">
        <f>ROUND(C21*F27*'数据-取费表'!B21/'数据-取费表'!B20,4)</f>
        <v>4.0000000000000001E-3</v>
      </c>
      <c r="D29" s="241"/>
      <c r="E29" s="242"/>
      <c r="F29" s="252"/>
      <c r="G29" s="253"/>
    </row>
    <row r="30" spans="1:7" s="220" customFormat="1" ht="13.5" customHeight="1">
      <c r="A30" s="863"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29381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1915</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1726</v>
      </c>
      <c r="D34" s="223"/>
      <c r="E34" s="226"/>
      <c r="F34" s="263">
        <f>IF('数据-取费表'!B24=0,1,'数据-取费表'!N16)</f>
        <v>1</v>
      </c>
      <c r="G34" s="225" t="s">
        <v>116</v>
      </c>
    </row>
    <row r="35" spans="1:7" ht="13.5" customHeight="1">
      <c r="A35" s="866" t="s">
        <v>615</v>
      </c>
      <c r="B35" s="221" t="s">
        <v>60</v>
      </c>
      <c r="C35" s="226">
        <f>ROUND(C34*F35,0)</f>
        <v>86</v>
      </c>
      <c r="D35" s="226"/>
      <c r="E35" s="226"/>
      <c r="F35" s="265">
        <f>'数据-取费表'!B33</f>
        <v>0.05</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77</v>
      </c>
      <c r="D37" s="223">
        <f>'数据-汇总表'!E3</f>
        <v>3836.1200000000003</v>
      </c>
      <c r="E37" s="255">
        <f>'数据-取费表'!B35</f>
        <v>200</v>
      </c>
      <c r="F37" s="265"/>
      <c r="G37" s="267" t="s">
        <v>119</v>
      </c>
    </row>
    <row r="38" spans="1:7" ht="13.5" customHeight="1">
      <c r="A38" s="866" t="s">
        <v>618</v>
      </c>
      <c r="B38" s="221" t="s">
        <v>63</v>
      </c>
      <c r="C38" s="226">
        <f>ROUND(C34*F38,0)</f>
        <v>26</v>
      </c>
      <c r="D38" s="226"/>
      <c r="E38" s="226"/>
      <c r="F38" s="265">
        <f>'数据-取费表'!B36</f>
        <v>1.4999999999999999E-2</v>
      </c>
      <c r="G38" s="225" t="s">
        <v>117</v>
      </c>
    </row>
    <row r="39" spans="1:7" s="220" customFormat="1" ht="13.5" customHeight="1">
      <c r="A39" s="863" t="s">
        <v>602</v>
      </c>
      <c r="B39" s="216" t="s">
        <v>104</v>
      </c>
      <c r="C39" s="238">
        <f>ROUND(C33*F20,0)</f>
        <v>38</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82</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80</v>
      </c>
      <c r="D42" s="244"/>
      <c r="E42" s="244"/>
      <c r="F42" s="245"/>
      <c r="G42" s="3459" t="s">
        <v>121</v>
      </c>
    </row>
    <row r="43" spans="1:7" ht="13.5" customHeight="1">
      <c r="A43" s="866" t="s">
        <v>611</v>
      </c>
      <c r="B43" s="221" t="s">
        <v>851</v>
      </c>
      <c r="C43" s="244">
        <f ca="1">ROUND(IF('数据-取费表'!B22&lt;=1,C39*F22*'数据-取费表'!B21/2,C39*(POWER((1+F22),'数据-取费表'!B21/2)-1)),0)</f>
        <v>2</v>
      </c>
      <c r="D43" s="244"/>
      <c r="E43" s="244"/>
      <c r="F43" s="245"/>
      <c r="G43" s="3460"/>
    </row>
    <row r="44" spans="1:7" ht="13.5" customHeight="1">
      <c r="A44" s="866" t="s">
        <v>612</v>
      </c>
      <c r="B44" s="221" t="s">
        <v>853</v>
      </c>
      <c r="C44" s="244">
        <f ca="1">ROUND(IF('数据-取费表'!B22&lt;=1,C40*F22*'数据-取费表'!B21/2,C40*(POWER((1+F22),'数据-取费表'!B21/2)-1)),4)</f>
        <v>8.0000000000000004E-4</v>
      </c>
      <c r="D44" s="244"/>
      <c r="E44" s="244"/>
      <c r="F44" s="245"/>
      <c r="G44" s="3461"/>
    </row>
    <row r="45" spans="1:7" s="220" customFormat="1" ht="13.5" customHeight="1">
      <c r="A45" s="863" t="s">
        <v>605</v>
      </c>
      <c r="B45" s="250" t="s">
        <v>112</v>
      </c>
      <c r="C45" s="251">
        <f>C46</f>
        <v>391</v>
      </c>
      <c r="D45" s="241">
        <f>C47</f>
        <v>4.0000000000000001E-3</v>
      </c>
      <c r="E45" s="242" t="s">
        <v>129</v>
      </c>
      <c r="F45" s="252"/>
      <c r="G45" s="253" t="s">
        <v>859</v>
      </c>
    </row>
    <row r="46" spans="1:7" s="220" customFormat="1" ht="13.5" customHeight="1">
      <c r="A46" s="866" t="s">
        <v>613</v>
      </c>
      <c r="B46" s="254" t="s">
        <v>852</v>
      </c>
      <c r="C46" s="255">
        <f>ROUND((C33+C39)*F27,0)</f>
        <v>391</v>
      </c>
      <c r="D46" s="269"/>
      <c r="E46" s="242"/>
      <c r="F46" s="252"/>
      <c r="G46" s="253"/>
    </row>
    <row r="47" spans="1:7" s="220" customFormat="1" ht="13.5" customHeight="1">
      <c r="A47" s="866" t="s">
        <v>611</v>
      </c>
      <c r="B47" s="254" t="s">
        <v>854</v>
      </c>
      <c r="C47" s="244">
        <f>ROUND(C40*F27,4)</f>
        <v>4.0000000000000001E-3</v>
      </c>
      <c r="D47" s="269"/>
      <c r="E47" s="242"/>
      <c r="F47" s="252"/>
      <c r="G47" s="253"/>
    </row>
    <row r="48" spans="1:7" s="220" customFormat="1" ht="13.5" customHeight="1">
      <c r="A48" s="863" t="s">
        <v>606</v>
      </c>
      <c r="B48" s="216" t="s">
        <v>122</v>
      </c>
      <c r="C48" s="268">
        <f>F30</f>
        <v>5.5000000000000007E-2</v>
      </c>
      <c r="D48" s="242" t="s">
        <v>130</v>
      </c>
      <c r="E48" s="238"/>
      <c r="F48" s="243"/>
      <c r="G48" s="240" t="s">
        <v>123</v>
      </c>
    </row>
    <row r="49" spans="1:7" ht="16.5" customHeight="1">
      <c r="A49" s="863" t="s">
        <v>607</v>
      </c>
      <c r="B49" s="216" t="s">
        <v>131</v>
      </c>
      <c r="C49" s="238">
        <f ca="1">ROUND((C33+C39+C41+C45)/(1-C40-D41-D45-C48/(1+'数据-取费表'!B42)),0)</f>
        <v>2629</v>
      </c>
      <c r="D49" s="238"/>
      <c r="E49" s="238"/>
      <c r="F49" s="270"/>
      <c r="G49" s="240" t="s">
        <v>860</v>
      </c>
    </row>
    <row r="50" spans="1:7" s="264" customFormat="1" ht="24">
      <c r="A50" s="863" t="s">
        <v>608</v>
      </c>
      <c r="B50" s="216" t="s">
        <v>124</v>
      </c>
      <c r="C50" s="238"/>
      <c r="D50" s="238"/>
      <c r="E50" s="238"/>
      <c r="F50" s="270">
        <f>IF('数据-取费表'!B24=0,'数据-取费表'!N16,1)</f>
        <v>0.93</v>
      </c>
      <c r="G50" s="253" t="s">
        <v>125</v>
      </c>
    </row>
    <row r="51" spans="1:7" ht="16.5" customHeight="1">
      <c r="A51" s="863" t="s">
        <v>609</v>
      </c>
      <c r="B51" s="216" t="s">
        <v>132</v>
      </c>
      <c r="C51" s="238">
        <f ca="1">ROUND(C49*F50,0)</f>
        <v>2445</v>
      </c>
      <c r="D51" s="238"/>
      <c r="E51" s="238"/>
      <c r="F51" s="270"/>
      <c r="G51" s="240" t="s">
        <v>64</v>
      </c>
    </row>
    <row r="52" spans="1:7" s="214" customFormat="1" ht="16.5" thickBot="1">
      <c r="A52" s="271" t="s">
        <v>65</v>
      </c>
      <c r="B52" s="272"/>
      <c r="C52" s="273">
        <f ca="1">C31+C51</f>
        <v>31826</v>
      </c>
      <c r="D52" s="272"/>
      <c r="E52" s="272"/>
      <c r="F52" s="272"/>
      <c r="G52" s="274"/>
    </row>
    <row r="55" spans="1:7" ht="15">
      <c r="B55" s="276" t="s">
        <v>66</v>
      </c>
      <c r="C55" s="277"/>
    </row>
    <row r="56" spans="1:7">
      <c r="B56" s="279" t="s">
        <v>67</v>
      </c>
      <c r="C56" s="280">
        <f ca="1">ROUND(C51/C52,3)</f>
        <v>7.6999999999999999E-2</v>
      </c>
    </row>
    <row r="57" spans="1:7">
      <c r="B57" s="279" t="s">
        <v>68</v>
      </c>
      <c r="C57" s="281">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13" t="s">
        <v>156</v>
      </c>
      <c r="B1" s="3613"/>
      <c r="C1" s="3613"/>
      <c r="D1" s="3613"/>
      <c r="E1" s="3613"/>
      <c r="F1" s="361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14" t="s">
        <v>169</v>
      </c>
      <c r="B2" s="3614"/>
      <c r="C2" s="3614"/>
      <c r="D2" s="3614"/>
      <c r="E2" s="3614"/>
      <c r="F2" s="361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15"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6"/>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13" t="s">
        <v>658</v>
      </c>
      <c r="B1" s="3613"/>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R36" sqref="R36"/>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44788</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8">
        <v>44701</v>
      </c>
      <c r="D13" s="2999">
        <v>3.7</v>
      </c>
      <c r="E13" s="2999">
        <f>D13</f>
        <v>3.7</v>
      </c>
      <c r="F13" s="2999">
        <f>D13</f>
        <v>3.7</v>
      </c>
      <c r="G13" s="2999">
        <f>D13</f>
        <v>3.7</v>
      </c>
      <c r="H13" s="2999">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3"/>
      <c r="C14" s="2995">
        <v>44581</v>
      </c>
      <c r="D14" s="2994">
        <v>3.7</v>
      </c>
      <c r="E14" s="2994">
        <f>D14</f>
        <v>3.7</v>
      </c>
      <c r="F14" s="2994">
        <f>D14</f>
        <v>3.7</v>
      </c>
      <c r="G14" s="2994">
        <f>D14</f>
        <v>3.7</v>
      </c>
      <c r="H14" s="2994">
        <v>4.5999999999999996</v>
      </c>
      <c r="I14" s="2999"/>
      <c r="J14" s="2999"/>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4"/>
      <c r="C15" s="2995">
        <v>44550</v>
      </c>
      <c r="D15" s="2994">
        <v>3.8</v>
      </c>
      <c r="E15" s="2994">
        <f>D15</f>
        <v>3.8</v>
      </c>
      <c r="F15" s="2994">
        <f>D15</f>
        <v>3.8</v>
      </c>
      <c r="G15" s="2994">
        <f>D15</f>
        <v>3.8</v>
      </c>
      <c r="H15" s="2994">
        <v>4.6500000000000004</v>
      </c>
      <c r="I15" s="2994"/>
      <c r="J15" s="2999"/>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4"/>
      <c r="C16" s="2995">
        <v>43941</v>
      </c>
      <c r="D16" s="2994">
        <v>3.85</v>
      </c>
      <c r="E16" s="2994">
        <v>3.85</v>
      </c>
      <c r="F16" s="2994">
        <v>3.85</v>
      </c>
      <c r="G16" s="2994">
        <v>3.85</v>
      </c>
      <c r="H16" s="2994">
        <v>4.6500000000000004</v>
      </c>
      <c r="I16" s="2994"/>
      <c r="J16" s="2994"/>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4"/>
      <c r="C17" s="2995">
        <v>43881</v>
      </c>
      <c r="D17" s="2994">
        <v>4.05</v>
      </c>
      <c r="E17" s="2994">
        <v>4.05</v>
      </c>
      <c r="F17" s="2994">
        <v>4.05</v>
      </c>
      <c r="G17" s="2994">
        <v>4.05</v>
      </c>
      <c r="H17" s="2994">
        <v>4.75</v>
      </c>
      <c r="I17" s="2994"/>
      <c r="J17" s="2994"/>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4"/>
      <c r="C18" s="2995">
        <v>43789</v>
      </c>
      <c r="D18" s="2994">
        <v>4.1500000000000004</v>
      </c>
      <c r="E18" s="2994">
        <v>4.1500000000000004</v>
      </c>
      <c r="F18" s="2994">
        <v>4.1500000000000004</v>
      </c>
      <c r="G18" s="2994">
        <v>4.1500000000000004</v>
      </c>
      <c r="H18" s="2994">
        <v>4.8</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2"/>
      <c r="B19" s="2994"/>
      <c r="C19" s="2995">
        <v>43728</v>
      </c>
      <c r="D19" s="2994">
        <v>4.2</v>
      </c>
      <c r="E19" s="2994">
        <v>4.2</v>
      </c>
      <c r="F19" s="2994">
        <v>4.2</v>
      </c>
      <c r="G19" s="2994">
        <v>4.2</v>
      </c>
      <c r="H19" s="2994">
        <v>4.8499999999999996</v>
      </c>
      <c r="I19" s="2994"/>
      <c r="J19" s="2994"/>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3" t="s">
        <v>2814</v>
      </c>
      <c r="C20" s="2996">
        <v>43697</v>
      </c>
      <c r="D20" s="2997">
        <v>4.25</v>
      </c>
      <c r="E20" s="2997">
        <v>4.25</v>
      </c>
      <c r="F20" s="2997">
        <v>4.25</v>
      </c>
      <c r="G20" s="2997">
        <v>4.25</v>
      </c>
      <c r="H20" s="2997">
        <v>4.8499999999999996</v>
      </c>
      <c r="I20" s="2997"/>
      <c r="J20" s="2997"/>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3000"/>
      <c r="B21" s="3001"/>
      <c r="C21" s="3002">
        <v>42301</v>
      </c>
      <c r="D21" s="3003">
        <v>4.3499999999999996</v>
      </c>
      <c r="E21" s="3003">
        <v>4.3499999999999996</v>
      </c>
      <c r="F21" s="3003">
        <v>4.75</v>
      </c>
      <c r="G21" s="3003">
        <v>4.75</v>
      </c>
      <c r="H21" s="3003">
        <v>4.9000000000000004</v>
      </c>
      <c r="I21" s="3003"/>
      <c r="J21" s="3003"/>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8" sqref="M28"/>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1365</v>
      </c>
      <c r="B2" s="3291" t="s">
        <v>1366</v>
      </c>
      <c r="C2" s="3291" t="s">
        <v>1367</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85"/>
      <c r="B3" s="3285"/>
      <c r="C3" s="3285"/>
      <c r="D3" s="941" t="s">
        <v>1362</v>
      </c>
      <c r="E3" s="941" t="s">
        <v>1368</v>
      </c>
      <c r="F3" s="941" t="s">
        <v>1362</v>
      </c>
      <c r="G3" s="941" t="s">
        <v>1363</v>
      </c>
      <c r="H3" s="941" t="s">
        <v>1362</v>
      </c>
      <c r="I3" s="941" t="s">
        <v>1363</v>
      </c>
    </row>
    <row r="4" spans="1:9" ht="15">
      <c r="A4" s="1638" t="str">
        <f>项目基本情况!S2</f>
        <v>北京市房地产</v>
      </c>
      <c r="B4" s="941">
        <f>项目基本情况!C17</f>
        <v>3836.1200000000003</v>
      </c>
      <c r="C4" s="941">
        <f>项目基本情况!C18</f>
        <v>0</v>
      </c>
      <c r="D4" s="941">
        <f ca="1">结果表!D118</f>
        <v>5266</v>
      </c>
      <c r="E4" s="941">
        <f ca="1">结果表!E118</f>
        <v>13727</v>
      </c>
      <c r="F4" s="941">
        <f ca="1">结果表!F118</f>
        <v>2467</v>
      </c>
      <c r="G4" s="941">
        <f ca="1">结果表!G118</f>
        <v>6431</v>
      </c>
      <c r="H4" s="941">
        <f ca="1">结果表!H118</f>
        <v>7733</v>
      </c>
      <c r="I4" s="941">
        <f ca="1">结果表!I118</f>
        <v>20158</v>
      </c>
    </row>
    <row r="5" spans="1:9" ht="30" customHeight="1">
      <c r="A5" s="3285" t="s">
        <v>1364</v>
      </c>
      <c r="B5" s="3285"/>
      <c r="C5" s="3285"/>
      <c r="D5" s="3286" t="str">
        <f ca="1">结果表!D119</f>
        <v>伍仟贰佰陆拾陆万元整</v>
      </c>
      <c r="E5" s="3286"/>
      <c r="F5" s="3286" t="str">
        <f ca="1">结果表!F119</f>
        <v>贰仟肆佰陆拾柒万元整</v>
      </c>
      <c r="G5" s="3286"/>
      <c r="H5" s="3286" t="str">
        <f ca="1">结果表!H119</f>
        <v>柒仟柒佰叁拾叁万元整</v>
      </c>
      <c r="I5" s="3286"/>
    </row>
    <row r="6" spans="1:9" ht="15.75">
      <c r="A6" s="3284" t="str">
        <f>结果表!A120</f>
        <v>估价师知悉的法定优先受偿款</v>
      </c>
      <c r="B6" s="3284"/>
      <c r="C6" s="3284"/>
      <c r="D6" s="3284">
        <f>结果表!D120</f>
        <v>0</v>
      </c>
      <c r="E6" s="3284"/>
      <c r="F6" s="3284"/>
      <c r="G6" s="3284"/>
      <c r="H6" s="3284"/>
      <c r="I6" s="3284"/>
    </row>
    <row r="7" spans="1:9" ht="15">
      <c r="A7" s="3285" t="s">
        <v>1364</v>
      </c>
      <c r="B7" s="3285"/>
      <c r="C7" s="3285"/>
      <c r="D7" s="3287" t="str">
        <f>结果表!D121</f>
        <v>零元整</v>
      </c>
      <c r="E7" s="3288"/>
      <c r="F7" s="3288"/>
      <c r="G7" s="3288"/>
      <c r="H7" s="3288"/>
      <c r="I7" s="3289"/>
    </row>
    <row r="8" spans="1:9" ht="15.75">
      <c r="A8" s="3284" t="str">
        <f>结果表!A122</f>
        <v>房地产抵押价值</v>
      </c>
      <c r="B8" s="3284"/>
      <c r="C8" s="3284"/>
      <c r="D8" s="3284">
        <f ca="1">结果表!D122</f>
        <v>7733</v>
      </c>
      <c r="E8" s="3284"/>
      <c r="F8" s="3284"/>
      <c r="G8" s="3284"/>
      <c r="H8" s="3284"/>
      <c r="I8" s="3284"/>
    </row>
    <row r="9" spans="1:9" ht="15">
      <c r="A9" s="3285" t="s">
        <v>1364</v>
      </c>
      <c r="B9" s="3285"/>
      <c r="C9" s="3285"/>
      <c r="D9" s="3286" t="str">
        <f ca="1">结果表!D123</f>
        <v>柒仟柒佰叁拾叁万元整</v>
      </c>
      <c r="E9" s="3286"/>
      <c r="F9" s="3286"/>
      <c r="G9" s="3286"/>
      <c r="H9" s="3286"/>
      <c r="I9" s="3286"/>
    </row>
    <row r="10" spans="1:9" ht="15.75">
      <c r="A10" s="3284" t="str">
        <f>结果表!A124</f>
        <v/>
      </c>
      <c r="B10" s="3284"/>
      <c r="C10" s="3284"/>
      <c r="D10" s="3284" t="str">
        <f>结果表!D124</f>
        <v>——</v>
      </c>
      <c r="E10" s="3284"/>
      <c r="F10" s="3284"/>
      <c r="G10" s="3284"/>
      <c r="H10" s="3284"/>
      <c r="I10" s="3284"/>
    </row>
    <row r="11" spans="1:9" ht="15">
      <c r="A11" s="3285" t="s">
        <v>1364</v>
      </c>
      <c r="B11" s="3285"/>
      <c r="C11" s="3285"/>
      <c r="D11" s="3286" t="e">
        <f>结果表!D125</f>
        <v>#VALUE!</v>
      </c>
      <c r="E11" s="3286"/>
      <c r="F11" s="3286"/>
      <c r="G11" s="3286"/>
      <c r="H11" s="3286"/>
      <c r="I11" s="3286"/>
    </row>
    <row r="12" spans="1:9" ht="15.75">
      <c r="A12" s="3284" t="str">
        <f>结果表!A126</f>
        <v/>
      </c>
      <c r="B12" s="3284"/>
      <c r="C12" s="3284"/>
      <c r="D12" s="3284" t="str">
        <f>结果表!D126</f>
        <v>——</v>
      </c>
      <c r="E12" s="3284"/>
      <c r="F12" s="3284"/>
      <c r="G12" s="3284"/>
      <c r="H12" s="3284"/>
      <c r="I12" s="3284"/>
    </row>
    <row r="13" spans="1:9" ht="15.75" thickBot="1">
      <c r="A13" s="3281" t="s">
        <v>1364</v>
      </c>
      <c r="B13" s="3281"/>
      <c r="C13" s="3281"/>
      <c r="D13" s="3282" t="e">
        <f>结果表!D127</f>
        <v>#VALUE!</v>
      </c>
      <c r="E13" s="3282"/>
      <c r="F13" s="3282"/>
      <c r="G13" s="3282"/>
      <c r="H13" s="3282"/>
      <c r="I13" s="3282"/>
    </row>
    <row r="14" spans="1:9" ht="15" thickTop="1">
      <c r="A14" s="3283" t="s">
        <v>1369</v>
      </c>
      <c r="B14" s="3283"/>
      <c r="C14" s="3283"/>
      <c r="D14" s="3283"/>
      <c r="E14" s="3283"/>
      <c r="F14" s="3283"/>
      <c r="G14" s="3283"/>
      <c r="H14" s="3283"/>
      <c r="I14" s="3283"/>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298" t="s">
        <v>1386</v>
      </c>
      <c r="B1" s="3298"/>
      <c r="C1" s="3298"/>
      <c r="D1" s="3298"/>
    </row>
    <row r="2" spans="1:4" ht="18">
      <c r="A2" s="3299" t="s">
        <v>1370</v>
      </c>
      <c r="B2" s="3299"/>
      <c r="C2" s="3299"/>
      <c r="D2" s="3299"/>
    </row>
    <row r="3" spans="1:4" ht="18.75">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8">
      <c r="A6" s="3299" t="s">
        <v>1376</v>
      </c>
      <c r="B6" s="3299"/>
      <c r="C6" s="3299"/>
      <c r="D6" s="3299"/>
    </row>
    <row r="7" spans="1:4" ht="18.75">
      <c r="A7" s="1642" t="s">
        <v>1371</v>
      </c>
      <c r="B7" s="1644" t="s">
        <v>1377</v>
      </c>
      <c r="C7" s="1642" t="s">
        <v>1373</v>
      </c>
      <c r="D7" s="1642" t="s">
        <v>1374</v>
      </c>
    </row>
    <row r="8" spans="1:4" ht="56.25" customHeight="1">
      <c r="A8" s="1648" t="s">
        <v>656</v>
      </c>
      <c r="B8" s="1648" t="s">
        <v>1</v>
      </c>
      <c r="C8" s="1645"/>
      <c r="D8" s="1646" t="s">
        <v>1375</v>
      </c>
    </row>
    <row r="9" spans="1:4">
      <c r="A9" s="684"/>
      <c r="B9" s="684"/>
      <c r="C9" s="684"/>
      <c r="D9" s="684"/>
    </row>
    <row r="10" spans="1:4" ht="18.75">
      <c r="A10" s="1649" t="s">
        <v>1378</v>
      </c>
      <c r="B10" s="684"/>
      <c r="C10" s="684"/>
      <c r="D10" s="684"/>
    </row>
    <row r="11" spans="1:4" ht="30" customHeight="1">
      <c r="A11" s="3300" t="s">
        <v>1379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1380</v>
      </c>
      <c r="B16" s="3294"/>
      <c r="C16" s="3294"/>
      <c r="D16" s="3294"/>
    </row>
    <row r="17" spans="1:4" ht="144" customHeight="1">
      <c r="A17" s="3294" t="s">
        <v>1381</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1382</v>
      </c>
      <c r="B22" s="3296"/>
      <c r="C22" s="3296"/>
      <c r="D22" s="3296"/>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06" t="s">
        <v>1393</v>
      </c>
      <c r="B15" s="3301" t="s">
        <v>136</v>
      </c>
      <c r="C15" s="3302"/>
    </row>
    <row r="16" spans="1:7" ht="13.5">
      <c r="A16" s="3307"/>
      <c r="B16" s="3301" t="s">
        <v>69</v>
      </c>
      <c r="C16" s="3302"/>
    </row>
    <row r="17" spans="1:3" ht="13.5">
      <c r="A17" s="3307"/>
      <c r="B17" s="3304" t="s">
        <v>1394</v>
      </c>
      <c r="C17" s="1665" t="s">
        <v>1393</v>
      </c>
    </row>
    <row r="18" spans="1:3" ht="13.5">
      <c r="A18" s="3307"/>
      <c r="B18" s="3304"/>
      <c r="C18" s="1665" t="s">
        <v>1395</v>
      </c>
    </row>
    <row r="19" spans="1:3" ht="13.5">
      <c r="A19" s="3307"/>
      <c r="B19" s="3304"/>
      <c r="C19" s="1665" t="s">
        <v>1396</v>
      </c>
    </row>
    <row r="20" spans="1:3" ht="13.5">
      <c r="A20" s="3308"/>
      <c r="B20" s="3303" t="s">
        <v>1397</v>
      </c>
      <c r="C20" s="3302"/>
    </row>
    <row r="21" spans="1:3" ht="13.5">
      <c r="A21" s="1666" t="s">
        <v>1398</v>
      </c>
      <c r="B21" s="1667"/>
      <c r="C21" s="1668"/>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5" t="s">
        <v>1404</v>
      </c>
    </row>
    <row r="26" spans="1:3" ht="13.5">
      <c r="A26" s="3305"/>
      <c r="B26" s="3304"/>
      <c r="C26" s="1665" t="s">
        <v>1405</v>
      </c>
    </row>
    <row r="27" spans="1:3" ht="13.5">
      <c r="A27" s="3305"/>
      <c r="B27" s="3304"/>
      <c r="C27" s="1665" t="s">
        <v>1406</v>
      </c>
    </row>
    <row r="28" spans="1:3" ht="13.5">
      <c r="A28" s="3305"/>
      <c r="B28" s="3304"/>
      <c r="C28" s="1665" t="s">
        <v>1407</v>
      </c>
    </row>
    <row r="29" spans="1:3" ht="13.5">
      <c r="A29" s="3305"/>
      <c r="B29" s="3304"/>
      <c r="C29" s="1665" t="s">
        <v>1408</v>
      </c>
    </row>
    <row r="30" spans="1:3" ht="13.5">
      <c r="A30" s="3305"/>
      <c r="B30" s="3304"/>
      <c r="C30" s="1665" t="s">
        <v>1409</v>
      </c>
    </row>
    <row r="31" spans="1:3" ht="13.5">
      <c r="A31" s="3305"/>
      <c r="B31" s="3304"/>
      <c r="C31" s="1665" t="s">
        <v>1410</v>
      </c>
    </row>
    <row r="32" spans="1:3" ht="13.5">
      <c r="A32" s="3305"/>
      <c r="B32" s="3304"/>
      <c r="C32" s="1665" t="s">
        <v>1411</v>
      </c>
    </row>
    <row r="33" spans="1:3" ht="13.5">
      <c r="A33" s="3305"/>
      <c r="B33" s="3304"/>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2639</v>
      </c>
      <c r="B2" s="2509">
        <f ca="1">TODAY()</f>
        <v>44790</v>
      </c>
      <c r="C2" s="2510" t="s">
        <v>2640</v>
      </c>
      <c r="D2" s="2510"/>
      <c r="E2" s="2510"/>
      <c r="F2" s="2506"/>
      <c r="G2" s="2506"/>
      <c r="H2" s="2506"/>
    </row>
    <row r="3" spans="1:8" ht="24" customHeight="1">
      <c r="A3" s="2511" t="s">
        <v>2641</v>
      </c>
      <c r="B3" s="2512" t="s">
        <v>2642</v>
      </c>
      <c r="C3" s="2512" t="s">
        <v>2643</v>
      </c>
      <c r="D3" s="2513" t="s">
        <v>2644</v>
      </c>
      <c r="E3" s="2514" t="s">
        <v>2645</v>
      </c>
      <c r="F3" s="1422" t="s">
        <v>2646</v>
      </c>
      <c r="G3" s="2512" t="s">
        <v>2643</v>
      </c>
      <c r="H3" s="2513" t="s">
        <v>2647</v>
      </c>
    </row>
    <row r="4" spans="1:8" ht="24" customHeight="1">
      <c r="A4" s="1422" t="s">
        <v>2648</v>
      </c>
      <c r="B4" s="1422">
        <f ca="1">IF(C4&lt;B2,"已过期",1119970066)</f>
        <v>1119970066</v>
      </c>
      <c r="C4" s="2515">
        <v>44876</v>
      </c>
      <c r="D4" s="2516" t="str">
        <f ca="1">A4&amp;"（注册号："&amp;B4&amp;"）"</f>
        <v>梁津（注册号：1119970066）</v>
      </c>
      <c r="E4" s="2517" t="s">
        <v>2648</v>
      </c>
      <c r="F4" s="1422">
        <f ca="1">IF(G4&lt;B2,"已过期",96010014)</f>
        <v>96010014</v>
      </c>
      <c r="G4" s="2518">
        <v>47118</v>
      </c>
      <c r="H4" s="2519" t="str">
        <f ca="1">E4&amp;"（注册号："&amp;F4&amp;"）"</f>
        <v>梁津（注册号：96010014）</v>
      </c>
    </row>
    <row r="5" spans="1:8" ht="24" customHeight="1">
      <c r="A5" s="1422" t="s">
        <v>2649</v>
      </c>
      <c r="B5" s="1422">
        <f ca="1">IF(C5&lt;B2,"已过期",1119970111)</f>
        <v>1119970111</v>
      </c>
      <c r="C5" s="2515">
        <v>44876</v>
      </c>
      <c r="D5" s="2516" t="str">
        <f t="shared" ref="D5:D15" ca="1" si="0">A5&amp;"（注册号："&amp;B5&amp;"）"</f>
        <v>叶凌（注册号：1119970111）</v>
      </c>
      <c r="E5" s="2517" t="s">
        <v>2649</v>
      </c>
      <c r="F5" s="1422">
        <f ca="1">IF(G5&lt;B2,"已过期",94010078)</f>
        <v>94010078</v>
      </c>
      <c r="G5" s="2518">
        <v>46387</v>
      </c>
      <c r="H5" s="2519" t="str">
        <f t="shared" ref="H5:H16" ca="1" si="1">E5&amp;"（注册号："&amp;F5&amp;"）"</f>
        <v>叶凌（注册号：94010078）</v>
      </c>
    </row>
    <row r="6" spans="1:8" ht="24" customHeight="1">
      <c r="A6" s="1422" t="s">
        <v>2650</v>
      </c>
      <c r="B6" s="1422">
        <f ca="1">IF(C6&lt;B2,"已过期",1120050019)</f>
        <v>1120050019</v>
      </c>
      <c r="C6" s="2515">
        <v>45410</v>
      </c>
      <c r="D6" s="2516" t="str">
        <f t="shared" ca="1" si="0"/>
        <v>王鹏（注册号：1120050019）</v>
      </c>
      <c r="E6" s="2517" t="s">
        <v>2650</v>
      </c>
      <c r="F6" s="1422">
        <f ca="1">IF(G6&lt;B2,"已过期",2002110030)</f>
        <v>2002110030</v>
      </c>
      <c r="G6" s="2518">
        <v>46387</v>
      </c>
      <c r="H6" s="2519" t="str">
        <f t="shared" ca="1" si="1"/>
        <v>王鹏（注册号：2002110030）</v>
      </c>
    </row>
    <row r="7" spans="1:8" ht="24" customHeight="1">
      <c r="A7" s="1422" t="s">
        <v>2651</v>
      </c>
      <c r="B7" s="1422">
        <f ca="1">IF(C7&lt;B2,"已过期",1120000080)</f>
        <v>1120000080</v>
      </c>
      <c r="C7" s="2515">
        <v>44876</v>
      </c>
      <c r="D7" s="2516" t="str">
        <f t="shared" ca="1" si="0"/>
        <v>欧红伟（注册号：1120000080）</v>
      </c>
      <c r="E7" s="2517" t="s">
        <v>2651</v>
      </c>
      <c r="F7" s="1422">
        <f ca="1">IF(G7&lt;B2,"已过期",2000110082)</f>
        <v>2000110082</v>
      </c>
      <c r="G7" s="2518">
        <v>46387</v>
      </c>
      <c r="H7" s="2519" t="str">
        <f t="shared" ca="1" si="1"/>
        <v>欧红伟（注册号：2000110082）</v>
      </c>
    </row>
    <row r="8" spans="1:8" ht="24" customHeight="1">
      <c r="A8" s="1422" t="s">
        <v>2652</v>
      </c>
      <c r="B8" s="1422">
        <f ca="1">IF(C8&lt;B2,"已过期",1419970001)</f>
        <v>1419970001</v>
      </c>
      <c r="C8" s="2515">
        <v>44899</v>
      </c>
      <c r="D8" s="2516" t="str">
        <f t="shared" ca="1" si="0"/>
        <v>吴薇（注册号：1419970001）</v>
      </c>
      <c r="E8" s="2517" t="s">
        <v>2652</v>
      </c>
      <c r="F8" s="1422">
        <f ca="1">IF(G8&lt;B2,"已过期",2002110125)</f>
        <v>2002110125</v>
      </c>
      <c r="G8" s="2518">
        <v>47118</v>
      </c>
      <c r="H8" s="2519" t="str">
        <f t="shared" ca="1" si="1"/>
        <v>吴薇（注册号：2002110125）</v>
      </c>
    </row>
    <row r="9" spans="1:8" ht="24" customHeight="1">
      <c r="A9" s="1422" t="s">
        <v>2653</v>
      </c>
      <c r="B9" s="1422">
        <f ca="1">IF(C9&lt;B2,"已过期",1120060040)</f>
        <v>1120060040</v>
      </c>
      <c r="C9" s="2520">
        <v>45592</v>
      </c>
      <c r="D9" s="2516" t="str">
        <f t="shared" ca="1" si="0"/>
        <v>陈颖（注册号：1120060040）</v>
      </c>
      <c r="E9" s="2517" t="s">
        <v>2653</v>
      </c>
      <c r="F9" s="1422">
        <f ca="1">IF(G9&lt;B2,"已过期",2004110096)</f>
        <v>2004110096</v>
      </c>
      <c r="G9" s="2518">
        <v>47118</v>
      </c>
      <c r="H9" s="2519" t="str">
        <f t="shared" ca="1" si="1"/>
        <v>陈颖（注册号：2004110096）</v>
      </c>
    </row>
    <row r="10" spans="1:8" ht="24" customHeight="1">
      <c r="A10" s="1422" t="s">
        <v>2654</v>
      </c>
      <c r="B10" s="1422" t="str">
        <f ca="1">IF(C10&lt;B2,"已过期",1120100036)</f>
        <v>已过期</v>
      </c>
      <c r="C10" s="2520">
        <v>44675</v>
      </c>
      <c r="D10" s="2516" t="str">
        <f t="shared" ca="1" si="0"/>
        <v>崔锴（注册号：已过期）</v>
      </c>
      <c r="E10" s="2517" t="s">
        <v>2654</v>
      </c>
      <c r="F10" s="1422">
        <f ca="1">IF(G10&lt;B2,"已过期",2010110070)</f>
        <v>2010110070</v>
      </c>
      <c r="G10" s="2518">
        <v>47907</v>
      </c>
      <c r="H10" s="2519" t="str">
        <f t="shared" ca="1" si="1"/>
        <v>崔锴（注册号：2010110070）</v>
      </c>
    </row>
    <row r="11" spans="1:8" ht="24" customHeight="1">
      <c r="A11" s="1422" t="s">
        <v>2655</v>
      </c>
      <c r="B11" s="1422">
        <f ca="1">IF(C11&lt;B2,"已过期",1120070131)</f>
        <v>1120070131</v>
      </c>
      <c r="C11" s="2515">
        <v>44849</v>
      </c>
      <c r="D11" s="2516" t="str">
        <f t="shared" ca="1" si="0"/>
        <v>郑燚（注册号：1120070131）</v>
      </c>
      <c r="E11" s="2517" t="s">
        <v>2655</v>
      </c>
      <c r="F11" s="1422">
        <f ca="1">IF(G11&lt;B2,"已过期",2014110011)</f>
        <v>2014110011</v>
      </c>
      <c r="G11" s="2518">
        <v>49302</v>
      </c>
      <c r="H11" s="2519" t="str">
        <f t="shared" ca="1" si="1"/>
        <v>郑燚（注册号：2014110011）</v>
      </c>
    </row>
    <row r="12" spans="1:8" ht="24" customHeight="1">
      <c r="A12" s="1422" t="s">
        <v>2656</v>
      </c>
      <c r="B12" s="1422">
        <f ca="1">IF(C12&lt;B2,"已过期",1120040230)</f>
        <v>1120040230</v>
      </c>
      <c r="C12" s="2520">
        <v>44864</v>
      </c>
      <c r="D12" s="2516" t="str">
        <f t="shared" ca="1" si="0"/>
        <v>苏海（注册号：1120040230）</v>
      </c>
      <c r="E12" s="2517" t="s">
        <v>2656</v>
      </c>
      <c r="F12" s="1422">
        <f ca="1">IF(G12&lt;B2,"已过期",98030020)</f>
        <v>98030020</v>
      </c>
      <c r="G12" s="2518">
        <v>47118</v>
      </c>
      <c r="H12" s="2519" t="str">
        <f t="shared" ca="1" si="1"/>
        <v>苏海（注册号：98030020）</v>
      </c>
    </row>
    <row r="13" spans="1:8" ht="24" customHeight="1">
      <c r="A13" s="1422" t="s">
        <v>2657</v>
      </c>
      <c r="B13" s="1422" t="str">
        <f ca="1">IF(C13&lt;B2,"已过期",1120020033)</f>
        <v>已过期</v>
      </c>
      <c r="C13" s="2515">
        <v>44339</v>
      </c>
      <c r="D13" s="2516" t="str">
        <f t="shared" ca="1" si="0"/>
        <v>刘敬东（注册号：已过期）</v>
      </c>
      <c r="E13" s="2517" t="s">
        <v>2657</v>
      </c>
      <c r="F13" s="1422">
        <f ca="1">IF(G13&lt;B2,"已过期",2000110137)</f>
        <v>2000110137</v>
      </c>
      <c r="G13" s="2518">
        <v>46387</v>
      </c>
      <c r="H13" s="2519" t="str">
        <f t="shared" ca="1" si="1"/>
        <v>刘敬东（注册号：2000110137）</v>
      </c>
    </row>
    <row r="14" spans="1:8" ht="24" customHeight="1">
      <c r="A14" s="1422" t="s">
        <v>2658</v>
      </c>
      <c r="B14" s="1422">
        <f ca="1">IF(C14&lt;B2,"已过期",1119980106)</f>
        <v>1119980106</v>
      </c>
      <c r="C14" s="2520">
        <v>44969</v>
      </c>
      <c r="D14" s="2516" t="str">
        <f t="shared" ca="1" si="0"/>
        <v>刘俊财（注册号：1119980106）</v>
      </c>
      <c r="E14" s="2517" t="s">
        <v>2658</v>
      </c>
      <c r="F14" s="1422">
        <f ca="1">IF(G14&lt;B2,"已过期",96010063)</f>
        <v>96010063</v>
      </c>
      <c r="G14" s="2518">
        <v>47483</v>
      </c>
      <c r="H14" s="2519" t="str">
        <f t="shared" ca="1" si="1"/>
        <v>刘俊财（注册号：96010063）</v>
      </c>
    </row>
    <row r="15" spans="1:8" ht="24" customHeight="1">
      <c r="A15" s="1422" t="s">
        <v>2942</v>
      </c>
      <c r="B15" s="1422">
        <v>1120210056</v>
      </c>
      <c r="C15" s="2520">
        <v>45410</v>
      </c>
      <c r="D15" s="2516" t="str">
        <f t="shared" si="0"/>
        <v>宁小鳗（注册号：1120210056）</v>
      </c>
      <c r="E15" s="2517" t="s">
        <v>2659</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309" t="s">
        <v>2660</v>
      </c>
      <c r="B17" s="3309"/>
      <c r="C17" s="3309"/>
      <c r="D17" s="3309"/>
      <c r="E17" s="3309"/>
      <c r="F17" s="3309"/>
      <c r="G17" s="3309"/>
      <c r="H17" s="3309"/>
    </row>
    <row r="18" spans="1:8" ht="24" customHeight="1">
      <c r="A18" s="3310" t="s">
        <v>2661</v>
      </c>
      <c r="B18" s="3310"/>
      <c r="C18" s="3310"/>
      <c r="D18" s="2513"/>
      <c r="E18" s="3311" t="s">
        <v>2662</v>
      </c>
      <c r="F18" s="3310"/>
      <c r="G18" s="3310"/>
    </row>
    <row r="19" spans="1:8" s="2524" customFormat="1" ht="24" customHeight="1">
      <c r="A19" s="2523" t="s">
        <v>2663</v>
      </c>
      <c r="B19" s="2512" t="s">
        <v>2664</v>
      </c>
      <c r="C19" s="2512" t="s">
        <v>2643</v>
      </c>
      <c r="D19" s="2513"/>
      <c r="E19" s="2517" t="s">
        <v>2663</v>
      </c>
      <c r="F19" s="2512" t="s">
        <v>2664</v>
      </c>
      <c r="G19" s="2512" t="s">
        <v>2643</v>
      </c>
    </row>
    <row r="20" spans="1:8" s="2524" customFormat="1" ht="24" customHeight="1">
      <c r="A20" s="2525" t="s">
        <v>2665</v>
      </c>
      <c r="B20" s="2525" t="s">
        <v>2666</v>
      </c>
      <c r="C20" s="2518">
        <v>44820</v>
      </c>
      <c r="D20" s="2526"/>
      <c r="E20" s="2527" t="s">
        <v>2667</v>
      </c>
      <c r="F20" s="2530" t="s">
        <v>2943</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土地比较法-工业</vt:lpstr>
      <vt:lpstr>收益法-车库</vt:lpstr>
      <vt:lpstr>收益法</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'收益法-车库'!Print_Area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2022-08-17T06:39:17Z</dcterms:modified>
</cp:coreProperties>
</file>