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0" r:id="rId46"/>
    <sheet name="案例" sheetId="82" r:id="rId47"/>
    <sheet name="Sheet2" sheetId="81"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C40" i="37" l="1"/>
  <c r="C33" i="37"/>
  <c r="C30" i="37"/>
  <c r="E92" i="37"/>
  <c r="F92" i="37" s="1"/>
  <c r="G92" i="37" s="1"/>
  <c r="D92" i="37"/>
  <c r="E60" i="37"/>
  <c r="F60" i="37"/>
  <c r="G60" i="37"/>
  <c r="D60" i="37"/>
  <c r="I10" i="37"/>
  <c r="G10" i="37"/>
  <c r="E10" i="37"/>
  <c r="C10" i="37"/>
  <c r="I7" i="37"/>
  <c r="G7" i="37"/>
  <c r="E7" i="37"/>
  <c r="B14" i="74"/>
  <c r="J49" i="67"/>
  <c r="Y6" i="1"/>
  <c r="N6" i="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5" i="79"/>
  <c r="AD37"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3" i="79"/>
  <c r="T34" i="79"/>
  <c r="T35"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AA3"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H14" i="40"/>
  <c r="AB14" i="40"/>
  <c r="J14" i="40"/>
  <c r="W14" i="40" s="1"/>
  <c r="F14" i="40"/>
  <c r="AA14" i="40" s="1"/>
  <c r="J14" i="37"/>
  <c r="J27" i="37"/>
  <c r="AC27" i="37"/>
  <c r="AA44" i="33"/>
  <c r="AA14" i="33"/>
  <c r="J36" i="37"/>
  <c r="AC36" i="37" s="1"/>
  <c r="J10" i="36"/>
  <c r="AC10" i="36" s="1"/>
  <c r="AB30" i="21"/>
  <c r="W31"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AC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BL164" i="3"/>
  <c r="G165" i="3"/>
  <c r="BA167" i="3"/>
  <c r="BL168" i="3"/>
  <c r="AZ168" i="3" s="1"/>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76"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41" i="3"/>
  <c r="AC5" i="3"/>
  <c r="AZ506" i="3"/>
  <c r="AZ496" i="3"/>
  <c r="G548" i="3"/>
  <c r="G538" i="3"/>
  <c r="G520" i="3"/>
  <c r="G502" i="3"/>
  <c r="BS5" i="3"/>
  <c r="BP5" i="3"/>
  <c r="BN5" i="3"/>
  <c r="BK5" i="3"/>
  <c r="BI5" i="3"/>
  <c r="BG5" i="3"/>
  <c r="BE5" i="3"/>
  <c r="BC5" i="3"/>
  <c r="G17" i="3"/>
  <c r="BA17" i="3"/>
  <c r="BT5" i="3"/>
  <c r="AZ368" i="3"/>
  <c r="BA15" i="3"/>
  <c r="BB5" i="3"/>
  <c r="BR5" i="3"/>
  <c r="AZ380" i="3"/>
  <c r="AZ509" i="3"/>
  <c r="G509" i="3"/>
  <c r="BL493" i="3"/>
  <c r="AZ493" i="3"/>
  <c r="U36" i="40"/>
  <c r="F83" i="43"/>
  <c r="H85" i="43" s="1"/>
  <c r="F50" i="43"/>
  <c r="H54" i="43" s="1"/>
  <c r="F72" i="43"/>
  <c r="H75" i="43" s="1"/>
  <c r="U17" i="39"/>
  <c r="S14" i="35"/>
  <c r="U43" i="21"/>
  <c r="U35" i="21"/>
  <c r="AC35" i="21"/>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48" i="3"/>
  <c r="AZ259" i="3"/>
  <c r="AZ271" i="3"/>
  <c r="AZ133" i="3"/>
  <c r="AZ50" i="3"/>
  <c r="AZ77"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14" i="3" s="1"/>
  <c r="AZ250"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W30" i="37"/>
  <c r="W39" i="37"/>
  <c r="J17" i="37"/>
  <c r="W17" i="37" s="1"/>
  <c r="F17" i="37"/>
  <c r="AA17" i="37" s="1"/>
  <c r="F75" i="37"/>
  <c r="F19" i="37" s="1"/>
  <c r="S19" i="37" s="1"/>
  <c r="F79" i="37"/>
  <c r="G79" i="37" s="1"/>
  <c r="F23" i="37"/>
  <c r="S23" i="37" s="1"/>
  <c r="U23"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W36" i="37"/>
  <c r="S27" i="37"/>
  <c r="S28" i="37"/>
  <c r="W32"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AA23" i="37"/>
  <c r="J23" i="37"/>
  <c r="W23" i="37" s="1"/>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F7" i="73"/>
  <c r="F16" i="15"/>
  <c r="E10" i="76"/>
  <c r="M24" i="15"/>
  <c r="F40" i="67"/>
  <c r="L48" i="67"/>
  <c r="F38" i="67"/>
  <c r="C76" i="15"/>
  <c r="F6" i="15"/>
  <c r="L47" i="67"/>
  <c r="F6" i="73"/>
  <c r="F7" i="67"/>
  <c r="M29" i="67"/>
  <c r="B8" i="76"/>
  <c r="M22" i="15"/>
  <c r="L47" i="15"/>
  <c r="B11" i="76"/>
  <c r="F9" i="67"/>
  <c r="M22" i="67"/>
  <c r="E2" i="68"/>
  <c r="F43" i="15"/>
  <c r="F13" i="15"/>
  <c r="F6" i="67"/>
  <c r="E7" i="76"/>
  <c r="F42" i="15"/>
  <c r="E8" i="76"/>
  <c r="B12" i="76"/>
  <c r="F20" i="31"/>
  <c r="E11" i="76"/>
  <c r="E9" i="76"/>
  <c r="F13" i="67"/>
  <c r="M23" i="67"/>
  <c r="F26" i="15"/>
  <c r="B9" i="76"/>
  <c r="B7" i="76"/>
  <c r="M6" i="67"/>
  <c r="J15" i="67"/>
  <c r="F8" i="15"/>
  <c r="F37" i="67"/>
  <c r="F7" i="15"/>
  <c r="E2" i="69"/>
  <c r="E12" i="76"/>
  <c r="E13" i="76"/>
  <c r="F16" i="67"/>
  <c r="B13" i="76"/>
  <c r="M28" i="67"/>
  <c r="F5" i="73"/>
  <c r="M24" i="67"/>
  <c r="M8" i="67"/>
  <c r="F8" i="67"/>
  <c r="F3" i="73"/>
  <c r="C76" i="67"/>
  <c r="F4" i="73"/>
  <c r="F43" i="67"/>
  <c r="F42" i="67"/>
  <c r="AO13" i="1"/>
  <c r="W38" i="37" l="1"/>
  <c r="U38" i="37"/>
  <c r="AA38" i="37"/>
  <c r="S32" i="37"/>
  <c r="J35" i="37"/>
  <c r="S40" i="37"/>
  <c r="U32" i="37"/>
  <c r="AB37" i="37"/>
  <c r="S37" i="37"/>
  <c r="W37" i="37"/>
  <c r="U36" i="37"/>
  <c r="S30" i="37"/>
  <c r="AA35" i="37"/>
  <c r="AB35" i="37"/>
  <c r="S36" i="37"/>
  <c r="AC34" i="37"/>
  <c r="AB31" i="37"/>
  <c r="AA31" i="37"/>
  <c r="U30" i="37"/>
  <c r="AA29" i="37"/>
  <c r="U29" i="37"/>
  <c r="AC21" i="37"/>
  <c r="H19" i="37"/>
  <c r="AB19" i="37" s="1"/>
  <c r="G75" i="37"/>
  <c r="AA19" i="37"/>
  <c r="AC17" i="37"/>
  <c r="AB17" i="37"/>
  <c r="S17" i="37"/>
  <c r="U15" i="37"/>
  <c r="W15" i="37"/>
  <c r="S15" i="37"/>
  <c r="AC12" i="37"/>
  <c r="C18" i="9"/>
  <c r="D18" i="9" s="1"/>
  <c r="G22" i="68"/>
  <c r="G22" i="69"/>
  <c r="G22" i="11"/>
  <c r="E1" i="73"/>
  <c r="G26" i="12"/>
  <c r="J1" i="73"/>
  <c r="U19" i="33"/>
  <c r="AC27" i="33"/>
  <c r="AC23" i="37"/>
  <c r="S23" i="21"/>
  <c r="W15" i="21"/>
  <c r="S30" i="40"/>
  <c r="AZ345" i="3"/>
  <c r="AZ372" i="3"/>
  <c r="AZ347" i="3"/>
  <c r="AZ337" i="3"/>
  <c r="AZ376" i="3"/>
  <c r="AZ309" i="3"/>
  <c r="AA11" i="39"/>
  <c r="AZ513" i="3"/>
  <c r="AZ502" i="3"/>
  <c r="S41" i="33"/>
  <c r="AA41" i="33"/>
  <c r="W17" i="21"/>
  <c r="U12" i="39"/>
  <c r="AA27" i="40"/>
  <c r="AZ370" i="3"/>
  <c r="AZ583" i="3"/>
  <c r="AZ576" i="3"/>
  <c r="AB46" i="34"/>
  <c r="U46" i="33"/>
  <c r="S29" i="35"/>
  <c r="AA29" i="35"/>
  <c r="AB36" i="33"/>
  <c r="AA19" i="33"/>
  <c r="AC11" i="39"/>
  <c r="F29" i="6"/>
  <c r="AZ391" i="3"/>
  <c r="AZ318" i="3"/>
  <c r="AZ364" i="3"/>
  <c r="AZ329" i="3"/>
  <c r="AZ304" i="3"/>
  <c r="AZ306" i="3"/>
  <c r="AZ521" i="3"/>
  <c r="AZ523" i="3"/>
  <c r="AZ541" i="3"/>
  <c r="AZ571" i="3"/>
  <c r="AZ579" i="3"/>
  <c r="AZ542" i="3"/>
  <c r="AB23" i="34"/>
  <c r="U23" i="34"/>
  <c r="AC31" i="40"/>
  <c r="W31" i="40"/>
  <c r="AB38" i="40"/>
  <c r="U38" i="40"/>
  <c r="AZ525" i="3"/>
  <c r="AZ531" i="3"/>
  <c r="AZ512" i="3"/>
  <c r="AZ520" i="3"/>
  <c r="AA14" i="37"/>
  <c r="AA11" i="36"/>
  <c r="S11" i="36"/>
  <c r="U45" i="33"/>
  <c r="AB45" i="33"/>
  <c r="U17" i="34"/>
  <c r="AB17" i="34"/>
  <c r="AZ539" i="3"/>
  <c r="AZ529" i="3"/>
  <c r="AZ537" i="3"/>
  <c r="AZ518" i="3"/>
  <c r="AZ526" i="3"/>
  <c r="AZ546" i="3"/>
  <c r="AZ564" i="3"/>
  <c r="AZ580" i="3"/>
  <c r="B79" i="43"/>
  <c r="J9" i="33"/>
  <c r="H23" i="35"/>
  <c r="J23" i="36"/>
  <c r="H39" i="40"/>
  <c r="F38" i="40"/>
  <c r="BL550" i="3"/>
  <c r="BL15" i="3"/>
  <c r="AZ15" i="3" s="1"/>
  <c r="BA398" i="3"/>
  <c r="BL399" i="3"/>
  <c r="BA401" i="3"/>
  <c r="BA406" i="3"/>
  <c r="AZ406" i="3" s="1"/>
  <c r="G410" i="3"/>
  <c r="BL410" i="3"/>
  <c r="G412" i="3"/>
  <c r="AZ469" i="3"/>
  <c r="BL587" i="3"/>
  <c r="AZ587" i="3" s="1"/>
  <c r="BL400" i="3"/>
  <c r="AZ400" i="3" s="1"/>
  <c r="BA404" i="3"/>
  <c r="BA405" i="3"/>
  <c r="G587" i="3"/>
  <c r="F9" i="33"/>
  <c r="AA9" i="33" s="1"/>
  <c r="J12" i="35"/>
  <c r="BA551" i="3"/>
  <c r="AZ551" i="3" s="1"/>
  <c r="BA550" i="3"/>
  <c r="AZ550" i="3" s="1"/>
  <c r="BL548" i="3"/>
  <c r="AZ548" i="3" s="1"/>
  <c r="AZ480" i="3"/>
  <c r="W22" i="35"/>
  <c r="BL585" i="3"/>
  <c r="AZ585" i="3" s="1"/>
  <c r="B75" i="43"/>
  <c r="AC31" i="35"/>
  <c r="H24" i="36"/>
  <c r="G558" i="3"/>
  <c r="BL398" i="3"/>
  <c r="BA402" i="3"/>
  <c r="AZ402" i="3" s="1"/>
  <c r="BL408" i="3"/>
  <c r="AZ443" i="3"/>
  <c r="BL403" i="3"/>
  <c r="AZ403" i="3" s="1"/>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BA455" i="3"/>
  <c r="AZ455" i="3" s="1"/>
  <c r="BL457" i="3"/>
  <c r="BL460" i="3"/>
  <c r="BL461" i="3"/>
  <c r="BL463" i="3"/>
  <c r="G465" i="3"/>
  <c r="BA471" i="3"/>
  <c r="BA388" i="3"/>
  <c r="AZ388" i="3" s="1"/>
  <c r="BL208" i="3"/>
  <c r="G210" i="3"/>
  <c r="BL212" i="3"/>
  <c r="G214" i="3"/>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G451" i="3"/>
  <c r="BA454" i="3"/>
  <c r="BA457" i="3"/>
  <c r="BA459" i="3"/>
  <c r="AZ459" i="3" s="1"/>
  <c r="BA460" i="3"/>
  <c r="AZ460" i="3" s="1"/>
  <c r="BA461" i="3"/>
  <c r="BL464" i="3"/>
  <c r="BL466" i="3"/>
  <c r="G468" i="3"/>
  <c r="G469" i="3"/>
  <c r="BL476" i="3"/>
  <c r="BL477" i="3"/>
  <c r="BL478" i="3"/>
  <c r="G479" i="3"/>
  <c r="G480" i="3"/>
  <c r="BL480" i="3"/>
  <c r="BA483" i="3"/>
  <c r="BL483" i="3"/>
  <c r="BA486" i="3"/>
  <c r="BL489" i="3"/>
  <c r="BL491" i="3"/>
  <c r="BL492" i="3"/>
  <c r="G307" i="3"/>
  <c r="BA315" i="3"/>
  <c r="AZ315" i="3" s="1"/>
  <c r="BA333" i="3"/>
  <c r="BL346" i="3"/>
  <c r="AZ346" i="3" s="1"/>
  <c r="G349" i="3"/>
  <c r="G374" i="3"/>
  <c r="AZ419" i="3"/>
  <c r="AZ444" i="3"/>
  <c r="AZ464" i="3"/>
  <c r="AZ466" i="3"/>
  <c r="AZ476" i="3"/>
  <c r="BA482" i="3"/>
  <c r="BA484" i="3"/>
  <c r="AZ484" i="3" s="1"/>
  <c r="BA303" i="3"/>
  <c r="AZ303" i="3" s="1"/>
  <c r="BA307" i="3"/>
  <c r="AZ307" i="3" s="1"/>
  <c r="BL314" i="3"/>
  <c r="AZ314" i="3" s="1"/>
  <c r="BA332" i="3"/>
  <c r="BL332" i="3"/>
  <c r="BA367" i="3"/>
  <c r="AZ367" i="3" s="1"/>
  <c r="BA370" i="3"/>
  <c r="BA397" i="3"/>
  <c r="BL397" i="3"/>
  <c r="BA209"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55" i="3"/>
  <c r="AZ155" i="3" s="1"/>
  <c r="BL163" i="3"/>
  <c r="AZ163" i="3" s="1"/>
  <c r="BL167" i="3"/>
  <c r="AZ167"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A169" i="3"/>
  <c r="AZ169" i="3" s="1"/>
  <c r="BL181"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L154" i="3"/>
  <c r="G156" i="3"/>
  <c r="BL157" i="3"/>
  <c r="AZ157" i="3" s="1"/>
  <c r="BL159" i="3"/>
  <c r="AZ159" i="3" s="1"/>
  <c r="G160" i="3"/>
  <c r="BA164" i="3"/>
  <c r="AZ164" i="3" s="1"/>
  <c r="BA166" i="3"/>
  <c r="AZ166" i="3" s="1"/>
  <c r="G170" i="3"/>
  <c r="BA177" i="3"/>
  <c r="AZ177" i="3" s="1"/>
  <c r="BA178" i="3"/>
  <c r="BL198" i="3"/>
  <c r="AZ62" i="3"/>
  <c r="BL217" i="3"/>
  <c r="AZ217" i="3" s="1"/>
  <c r="BA219" i="3"/>
  <c r="AZ219" i="3" s="1"/>
  <c r="BA221" i="3"/>
  <c r="BA223" i="3"/>
  <c r="AZ223" i="3" s="1"/>
  <c r="BL228" i="3"/>
  <c r="AZ228" i="3" s="1"/>
  <c r="BA230" i="3"/>
  <c r="AZ230" i="3" s="1"/>
  <c r="BL232" i="3"/>
  <c r="BL234" i="3"/>
  <c r="BA236" i="3"/>
  <c r="BA238" i="3"/>
  <c r="AZ238" i="3" s="1"/>
  <c r="BA243" i="3"/>
  <c r="AZ243" i="3" s="1"/>
  <c r="AZ57" i="3"/>
  <c r="AC29" i="39"/>
  <c r="W29" i="39"/>
  <c r="AA18" i="36"/>
  <c r="S18" i="36"/>
  <c r="D38" i="71"/>
  <c r="C39" i="71"/>
  <c r="F34" i="71"/>
  <c r="F35" i="71" s="1"/>
  <c r="F36" i="71" s="1"/>
  <c r="V36" i="71" s="1"/>
  <c r="AB33" i="71"/>
  <c r="AB28" i="71"/>
  <c r="AB32" i="71"/>
  <c r="C44" i="71"/>
  <c r="D43" i="71"/>
  <c r="T72" i="71"/>
  <c r="C71" i="71"/>
  <c r="U76" i="71"/>
  <c r="E75" i="71"/>
  <c r="E74" i="71" s="1"/>
  <c r="V24" i="71"/>
  <c r="E23" i="71"/>
  <c r="E22" i="71" s="1"/>
  <c r="E21" i="71" s="1"/>
  <c r="E20" i="71"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BL63" i="3"/>
  <c r="AZ63" i="3" s="1"/>
  <c r="G65" i="3"/>
  <c r="BL65" i="3"/>
  <c r="AZ65" i="3" s="1"/>
  <c r="BL66" i="3"/>
  <c r="AZ66" i="3" s="1"/>
  <c r="BL67" i="3"/>
  <c r="AZ67" i="3" s="1"/>
  <c r="G69" i="3"/>
  <c r="G70" i="3"/>
  <c r="BA72" i="3"/>
  <c r="BA73" i="3"/>
  <c r="BA79" i="3"/>
  <c r="AZ79" i="3" s="1"/>
  <c r="BA84" i="3"/>
  <c r="AZ84" i="3" s="1"/>
  <c r="BL88" i="3"/>
  <c r="AZ88" i="3" s="1"/>
  <c r="BL90" i="3"/>
  <c r="P27" i="6"/>
  <c r="D72" i="71"/>
  <c r="C31" i="71"/>
  <c r="Y30" i="71"/>
  <c r="Z30" i="71" s="1"/>
  <c r="AA38" i="71"/>
  <c r="AA39" i="71"/>
  <c r="D84" i="71"/>
  <c r="C83" i="7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41" i="3"/>
  <c r="AZ41" i="3" s="1"/>
  <c r="BA42" i="3"/>
  <c r="BL48" i="3"/>
  <c r="BL54" i="3"/>
  <c r="BL55" i="3"/>
  <c r="AZ55" i="3" s="1"/>
  <c r="BA59" i="3"/>
  <c r="BL61" i="3"/>
  <c r="BA64" i="3"/>
  <c r="AZ64" i="3" s="1"/>
  <c r="BL68" i="3"/>
  <c r="BA69" i="3"/>
  <c r="AZ69" i="3" s="1"/>
  <c r="BA70" i="3"/>
  <c r="AZ70" i="3" s="1"/>
  <c r="BL81" i="3"/>
  <c r="BA82" i="3"/>
  <c r="AZ82" i="3" s="1"/>
  <c r="BL83" i="3"/>
  <c r="G88" i="3"/>
  <c r="BA90" i="3"/>
  <c r="BA94" i="3"/>
  <c r="AZ94" i="3" s="1"/>
  <c r="BA100" i="3"/>
  <c r="E28" i="71"/>
  <c r="AA27" i="71"/>
  <c r="AA28" i="71"/>
  <c r="Y27" i="71"/>
  <c r="Z27" i="71" s="1"/>
  <c r="Y26" i="71"/>
  <c r="Z26" i="71" s="1"/>
  <c r="C28" i="71"/>
  <c r="Y28" i="71"/>
  <c r="Z28" i="71" s="1"/>
  <c r="Y25" i="71"/>
  <c r="Z25" i="71" s="1"/>
  <c r="AA35" i="71"/>
  <c r="Y35" i="71"/>
  <c r="Z35" i="71" s="1"/>
  <c r="Y37" i="71"/>
  <c r="Z37" i="71" s="1"/>
  <c r="X36" i="71"/>
  <c r="X35" i="71"/>
  <c r="X38" i="7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1" i="3"/>
  <c r="AZ71" i="3" s="1"/>
  <c r="BL72" i="3"/>
  <c r="BL75" i="3"/>
  <c r="BL91" i="3"/>
  <c r="BL100" i="3"/>
  <c r="F40" i="68"/>
  <c r="C21" i="68"/>
  <c r="AA34" i="71"/>
  <c r="AA30" i="71"/>
  <c r="AA37" i="71"/>
  <c r="D56" i="71"/>
  <c r="T56" i="71"/>
  <c r="N67" i="71"/>
  <c r="B66" i="71"/>
  <c r="F66" i="71"/>
  <c r="Q67" i="71"/>
  <c r="T80" i="71"/>
  <c r="C79" i="71"/>
  <c r="G72" i="3"/>
  <c r="BL73" i="3"/>
  <c r="BA74" i="3"/>
  <c r="AZ74" i="3" s="1"/>
  <c r="BA75" i="3"/>
  <c r="AZ75" i="3" s="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1" i="33"/>
  <c r="S21" i="37"/>
  <c r="B77" i="43"/>
  <c r="AA18" i="35"/>
  <c r="O67" i="71"/>
  <c r="AB27" i="71"/>
  <c r="AB25" i="71"/>
  <c r="X26" i="71"/>
  <c r="C35"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L105" i="3"/>
  <c r="AZ105" i="3" s="1"/>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51" i="15"/>
  <c r="F71" i="15"/>
  <c r="F66" i="67"/>
  <c r="L59" i="15"/>
  <c r="N59" i="15"/>
  <c r="M59" i="15"/>
  <c r="Q71" i="67"/>
  <c r="F71" i="67"/>
  <c r="C27" i="15"/>
  <c r="N59" i="67"/>
  <c r="L59" i="67"/>
  <c r="L58" i="67"/>
  <c r="M59" i="67"/>
  <c r="B13" i="70"/>
  <c r="M7" i="67"/>
  <c r="F50" i="67"/>
  <c r="F68" i="67"/>
  <c r="C36" i="68"/>
  <c r="D9" i="69"/>
  <c r="C36" i="69"/>
  <c r="D9" i="68"/>
  <c r="J15" i="15"/>
  <c r="F38" i="15"/>
  <c r="M29" i="15"/>
  <c r="F36" i="67"/>
  <c r="F36" i="15"/>
  <c r="M23" i="15"/>
  <c r="F9" i="15"/>
  <c r="L48" i="15"/>
  <c r="D5" i="73"/>
  <c r="M6" i="15"/>
  <c r="M26" i="15"/>
  <c r="C16" i="15"/>
  <c r="M9" i="67"/>
  <c r="M26" i="67"/>
  <c r="D7" i="73"/>
  <c r="F40" i="15"/>
  <c r="M9" i="15"/>
  <c r="D3" i="73"/>
  <c r="F26" i="67"/>
  <c r="M28" i="15"/>
  <c r="D4" i="73"/>
  <c r="D6" i="73"/>
  <c r="M8" i="15"/>
  <c r="F37" i="15"/>
  <c r="C16" i="67"/>
  <c r="W35" i="37" l="1"/>
  <c r="AC35" i="37"/>
  <c r="U19" i="37"/>
  <c r="P6" i="1"/>
  <c r="C13" i="12" s="1"/>
  <c r="K16" i="1"/>
  <c r="F26" i="43"/>
  <c r="D26" i="43" s="1"/>
  <c r="C25" i="43" s="1"/>
  <c r="G26" i="43"/>
  <c r="E26" i="43"/>
  <c r="C27" i="67"/>
  <c r="C6" i="15"/>
  <c r="C32" i="15" s="1"/>
  <c r="F65" i="15"/>
  <c r="F64" i="67"/>
  <c r="F68" i="15"/>
  <c r="F64" i="15"/>
  <c r="F66" i="15"/>
  <c r="L58" i="15"/>
  <c r="Q60" i="15" s="1"/>
  <c r="J57" i="15"/>
  <c r="J55" i="15" s="1"/>
  <c r="J58" i="15" s="1"/>
  <c r="Q50" i="15" s="1"/>
  <c r="J53" i="15"/>
  <c r="L56" i="15" s="1"/>
  <c r="I54" i="15"/>
  <c r="C36" i="71"/>
  <c r="D35" i="71"/>
  <c r="AZ61" i="3"/>
  <c r="T28" i="71"/>
  <c r="D28" i="71"/>
  <c r="U28" i="71" s="1"/>
  <c r="C27" i="71"/>
  <c r="AZ27" i="3"/>
  <c r="D31" i="71"/>
  <c r="C32" i="71"/>
  <c r="AZ72" i="3"/>
  <c r="AZ38" i="3"/>
  <c r="AZ178" i="3"/>
  <c r="AZ282" i="3"/>
  <c r="AZ249" i="3"/>
  <c r="AZ483" i="3"/>
  <c r="AZ461" i="3"/>
  <c r="AZ454" i="3"/>
  <c r="AZ421" i="3"/>
  <c r="AZ414" i="3"/>
  <c r="AZ471" i="3"/>
  <c r="AB24" i="36"/>
  <c r="U24" i="36"/>
  <c r="W12" i="35"/>
  <c r="AC12" i="35"/>
  <c r="AZ404" i="3"/>
  <c r="AZ401" i="3"/>
  <c r="U23" i="35"/>
  <c r="AB23" i="35"/>
  <c r="J6" i="67"/>
  <c r="J18" i="67" s="1"/>
  <c r="G5" i="3"/>
  <c r="B3" i="3" s="1"/>
  <c r="E539" i="3" s="1"/>
  <c r="C78" i="71"/>
  <c r="D78" i="71" s="1"/>
  <c r="D79" i="71"/>
  <c r="N65" i="71"/>
  <c r="N66" i="71"/>
  <c r="AZ429" i="3"/>
  <c r="AA38" i="40"/>
  <c r="S38" i="40"/>
  <c r="AC9" i="33"/>
  <c r="W9" i="33"/>
  <c r="G16" i="1"/>
  <c r="F10" i="39" s="1"/>
  <c r="AZ100" i="3"/>
  <c r="AZ59" i="3"/>
  <c r="AZ31" i="3"/>
  <c r="AZ25" i="3"/>
  <c r="D44" i="71"/>
  <c r="T44" i="71"/>
  <c r="AZ284" i="3"/>
  <c r="AZ277" i="3"/>
  <c r="AZ256" i="3"/>
  <c r="AZ251" i="3"/>
  <c r="AZ247" i="3"/>
  <c r="AZ294" i="3"/>
  <c r="AZ428" i="3"/>
  <c r="AZ398" i="3"/>
  <c r="U39" i="40"/>
  <c r="AB39" i="40"/>
  <c r="J6" i="15"/>
  <c r="J18" i="15" s="1"/>
  <c r="O65" i="71"/>
  <c r="D66" i="71"/>
  <c r="O66" i="71"/>
  <c r="AZ154" i="3"/>
  <c r="C82" i="71"/>
  <c r="D82" i="71" s="1"/>
  <c r="D83" i="71"/>
  <c r="C70" i="71"/>
  <c r="D70" i="71" s="1"/>
  <c r="D71" i="71"/>
  <c r="C40" i="71"/>
  <c r="D39" i="71"/>
  <c r="AZ130" i="3"/>
  <c r="AZ244" i="3"/>
  <c r="AZ239" i="3"/>
  <c r="AZ208" i="3"/>
  <c r="AZ491" i="3"/>
  <c r="AZ397" i="3"/>
  <c r="AZ332" i="3"/>
  <c r="AZ457" i="3"/>
  <c r="AZ453" i="3"/>
  <c r="AZ405" i="3"/>
  <c r="AC23" i="36"/>
  <c r="W23" i="36"/>
  <c r="J7" i="37"/>
  <c r="AC7" i="37" s="1"/>
  <c r="K1" i="73"/>
  <c r="E510" i="3"/>
  <c r="E536" i="3"/>
  <c r="R6" i="3"/>
  <c r="E442" i="3"/>
  <c r="I3" i="6"/>
  <c r="E554" i="3"/>
  <c r="E56" i="3"/>
  <c r="E95" i="3"/>
  <c r="E363" i="3"/>
  <c r="E389" i="3"/>
  <c r="E425" i="3"/>
  <c r="E64" i="3"/>
  <c r="E267" i="3"/>
  <c r="E300" i="3"/>
  <c r="E23" i="3"/>
  <c r="E84" i="3"/>
  <c r="E184" i="3"/>
  <c r="E233" i="3"/>
  <c r="E63" i="3"/>
  <c r="E264" i="3"/>
  <c r="E21" i="3"/>
  <c r="E494" i="3"/>
  <c r="E391" i="3"/>
  <c r="AL6" i="3"/>
  <c r="E18" i="3"/>
  <c r="E96" i="3"/>
  <c r="E235" i="3"/>
  <c r="E383" i="3"/>
  <c r="E34" i="3"/>
  <c r="E206" i="3"/>
  <c r="E102" i="3"/>
  <c r="E113" i="3"/>
  <c r="E22" i="3"/>
  <c r="E205" i="3"/>
  <c r="E173" i="3"/>
  <c r="E525" i="3"/>
  <c r="E405" i="3"/>
  <c r="E456" i="3"/>
  <c r="E408" i="3"/>
  <c r="E451" i="3"/>
  <c r="E497" i="3"/>
  <c r="E13" i="3"/>
  <c r="E420" i="3"/>
  <c r="E26"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F11" i="15"/>
  <c r="M11" i="15"/>
  <c r="J10" i="15" s="1"/>
  <c r="F11" i="67"/>
  <c r="F1" i="67"/>
  <c r="Q52" i="67"/>
  <c r="Q61" i="67"/>
  <c r="Q74" i="67"/>
  <c r="Q74" i="15"/>
  <c r="Q61" i="15"/>
  <c r="AE11" i="1"/>
  <c r="AE9" i="1"/>
  <c r="F27" i="68"/>
  <c r="AE7" i="1"/>
  <c r="AE8" i="1"/>
  <c r="AE12" i="1"/>
  <c r="AE10" i="1"/>
  <c r="AE6" i="1"/>
  <c r="F41" i="67"/>
  <c r="G1" i="73"/>
  <c r="W7" i="37" l="1"/>
  <c r="F1" i="15"/>
  <c r="E41" i="3"/>
  <c r="E470" i="3"/>
  <c r="E556" i="3"/>
  <c r="E512" i="3"/>
  <c r="T6" i="3"/>
  <c r="E197" i="3"/>
  <c r="E308" i="3"/>
  <c r="AF6" i="3"/>
  <c r="E86" i="3"/>
  <c r="E174" i="3"/>
  <c r="E482" i="3"/>
  <c r="E332" i="3"/>
  <c r="E309" i="3"/>
  <c r="E68" i="3"/>
  <c r="E144" i="3"/>
  <c r="E310" i="3"/>
  <c r="E160" i="3"/>
  <c r="E409" i="3"/>
  <c r="E241" i="3"/>
  <c r="E417" i="3"/>
  <c r="E449" i="3"/>
  <c r="E575" i="3"/>
  <c r="E104" i="3"/>
  <c r="E452" i="3"/>
  <c r="E360" i="3"/>
  <c r="E469" i="3"/>
  <c r="E534" i="3"/>
  <c r="E140" i="3"/>
  <c r="E287" i="3"/>
  <c r="E251" i="3"/>
  <c r="E522" i="3"/>
  <c r="E129" i="3"/>
  <c r="E75" i="3"/>
  <c r="E198" i="3"/>
  <c r="E283" i="3"/>
  <c r="E381" i="3"/>
  <c r="E67" i="3"/>
  <c r="E371" i="3"/>
  <c r="E103" i="3"/>
  <c r="E76" i="3"/>
  <c r="E192" i="3"/>
  <c r="E435" i="3"/>
  <c r="E541" i="3"/>
  <c r="E199" i="3"/>
  <c r="E3" i="6"/>
  <c r="J5" i="67"/>
  <c r="J24" i="67" s="1"/>
  <c r="Q52" i="15"/>
  <c r="Q73" i="15"/>
  <c r="J5" i="15"/>
  <c r="J24" i="15" s="1"/>
  <c r="E42" i="3"/>
  <c r="E281" i="3"/>
  <c r="E513" i="3"/>
  <c r="E81" i="3"/>
  <c r="E355" i="3"/>
  <c r="E33" i="3"/>
  <c r="E492" i="3"/>
  <c r="E249" i="3"/>
  <c r="E46" i="3"/>
  <c r="E484" i="3"/>
  <c r="E544" i="3"/>
  <c r="E292" i="3"/>
  <c r="E152" i="3"/>
  <c r="E479" i="3"/>
  <c r="E517" i="3"/>
  <c r="E255" i="3"/>
  <c r="E466" i="3"/>
  <c r="E499" i="3"/>
  <c r="E212" i="3"/>
  <c r="T32" i="71"/>
  <c r="D32" i="71"/>
  <c r="D36" i="71"/>
  <c r="T36" i="71"/>
  <c r="E467" i="3"/>
  <c r="E59" i="3"/>
  <c r="E349" i="3"/>
  <c r="E258" i="3"/>
  <c r="E37" i="3"/>
  <c r="E491" i="3"/>
  <c r="AP6" i="3"/>
  <c r="E430" i="3"/>
  <c r="E502" i="3"/>
  <c r="E286" i="3"/>
  <c r="T40" i="71"/>
  <c r="D40" i="71"/>
  <c r="C26" i="71"/>
  <c r="D26" i="71" s="1"/>
  <c r="D27"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8" i="35"/>
  <c r="U7" i="33"/>
  <c r="AB7" i="33"/>
  <c r="T48" i="33" s="1"/>
  <c r="G48" i="33" s="1"/>
  <c r="C53" i="67"/>
  <c r="C48" i="67" s="1"/>
  <c r="C10" i="67"/>
  <c r="C5" i="67" s="1"/>
  <c r="C38" i="67" s="1"/>
  <c r="C53" i="15"/>
  <c r="C48" i="15" s="1"/>
  <c r="C66" i="15" s="1"/>
  <c r="C10" i="15"/>
  <c r="C5" i="15" s="1"/>
  <c r="C38" i="15" s="1"/>
  <c r="F41" i="15"/>
  <c r="M27" i="67"/>
  <c r="M27" i="15"/>
  <c r="F25" i="12" l="1"/>
  <c r="C26" i="12" s="1"/>
  <c r="D25" i="12" s="1"/>
  <c r="AC6" i="3"/>
  <c r="E6" i="3"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E42" i="37"/>
  <c r="G63" i="40"/>
  <c r="F65" i="40"/>
  <c r="C37" i="36"/>
  <c r="C36" i="36"/>
  <c r="G58" i="21"/>
  <c r="C60" i="15"/>
  <c r="C66" i="67"/>
  <c r="C60" i="67"/>
  <c r="D10" i="69"/>
  <c r="C34" i="69"/>
  <c r="D10" i="68"/>
  <c r="C17" i="15"/>
  <c r="C17" i="67"/>
  <c r="C14" i="67"/>
  <c r="C44" i="11" l="1"/>
  <c r="D41" i="11" s="1"/>
  <c r="C44" i="68"/>
  <c r="D41" i="68" s="1"/>
  <c r="C26" i="68"/>
  <c r="D22" i="68" s="1"/>
  <c r="F41" i="68"/>
  <c r="E54" i="34"/>
  <c r="F54"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I48" i="35"/>
  <c r="C48" i="33"/>
  <c r="C49" i="33"/>
  <c r="H58" i="2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H38" i="67" s="1"/>
  <c r="C57" i="67"/>
  <c r="C64" i="67" s="1"/>
  <c r="C13" i="67"/>
  <c r="Q70" i="67" s="1"/>
  <c r="C33" i="11"/>
  <c r="C39" i="11" s="1"/>
  <c r="C61" i="67"/>
  <c r="C42" i="68"/>
  <c r="C32" i="12"/>
  <c r="B2" i="12" s="1"/>
  <c r="B3" i="12" s="1"/>
  <c r="C23" i="15"/>
  <c r="C29" i="15" s="1"/>
  <c r="C41" i="69"/>
  <c r="R27" i="6"/>
  <c r="R6" i="1"/>
  <c r="H33" i="37" s="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B33" i="37" l="1"/>
  <c r="T42" i="37" s="1"/>
  <c r="U33" i="37"/>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2" i="37" l="1"/>
  <c r="R43" i="37"/>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46" i="37" l="1"/>
  <c r="H46" i="37" s="1"/>
  <c r="G47" i="37"/>
  <c r="H47" i="37" s="1"/>
  <c r="E47" i="37"/>
  <c r="F47" i="37" s="1"/>
  <c r="C42" i="37"/>
  <c r="C43" i="37"/>
  <c r="U19" i="1" s="1"/>
  <c r="U20"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19" i="9"/>
  <c r="D2" i="35"/>
  <c r="D2" i="34"/>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4" i="9"/>
  <c r="AO11" i="1"/>
  <c r="AO8" i="1"/>
  <c r="AO12" i="1"/>
  <c r="AO10" i="1"/>
  <c r="C19" i="9"/>
  <c r="AO6" i="1"/>
  <c r="D35" i="9"/>
  <c r="D20" i="9"/>
  <c r="AO9" i="1"/>
  <c r="AO7"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2" i="9" l="1"/>
  <c r="D14" i="74" s="1"/>
  <c r="G14" i="74"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18" i="9" s="1"/>
  <c r="I4" i="52" l="1"/>
  <c r="F118" i="9"/>
  <c r="F119" i="9" s="1"/>
  <c r="F5" i="52" s="1"/>
  <c r="B53" i="72" s="1"/>
  <c r="H102" i="9"/>
  <c r="H4" i="52"/>
  <c r="C104" i="9"/>
  <c r="H119" i="9"/>
  <c r="H5" i="52" s="1"/>
  <c r="H101" i="9"/>
  <c r="E118" i="9"/>
  <c r="C105" i="9"/>
  <c r="F4" i="52" l="1"/>
  <c r="B51" i="72" s="1"/>
  <c r="C5" i="74"/>
  <c r="D7" i="53"/>
  <c r="B21" i="72" s="1"/>
  <c r="D118" i="9"/>
  <c r="E4" i="52"/>
  <c r="B48" i="72" s="1"/>
  <c r="M48" i="9"/>
  <c r="H107" i="9"/>
  <c r="D45" i="9"/>
  <c r="D5" i="53"/>
  <c r="C64" i="9" l="1"/>
  <c r="C63" i="9" s="1"/>
  <c r="C67" i="9" s="1"/>
  <c r="D52" i="9"/>
  <c r="C78" i="9"/>
  <c r="C73" i="9" s="1"/>
  <c r="C93" i="9"/>
  <c r="C86" i="9" s="1"/>
  <c r="D53" i="9"/>
  <c r="D55" i="9"/>
  <c r="M53" i="9" s="1"/>
  <c r="C72" i="9"/>
  <c r="C79" i="9" s="1"/>
  <c r="C85" i="9"/>
  <c r="M49" i="9"/>
  <c r="H108" i="9"/>
  <c r="D13" i="53"/>
  <c r="D122" i="9"/>
  <c r="D6" i="53"/>
  <c r="B22" i="72" s="1"/>
  <c r="B20" i="72"/>
  <c r="D4" i="52"/>
  <c r="B47" i="72" s="1"/>
  <c r="D119" i="9"/>
  <c r="D5" i="52" s="1"/>
  <c r="B49" i="72" s="1"/>
  <c r="C95" i="9" l="1"/>
  <c r="C96" i="9" s="1"/>
  <c r="E96" i="9" s="1"/>
  <c r="E97" i="9" s="1"/>
  <c r="D123" i="9"/>
  <c r="D9" i="52" s="1"/>
  <c r="D8" i="52"/>
  <c r="D14" i="53"/>
  <c r="B32" i="72" s="1"/>
  <c r="B30" i="72"/>
  <c r="C80" i="9"/>
  <c r="E80" i="9" s="1"/>
  <c r="E81" i="9" s="1"/>
  <c r="C6" i="74"/>
  <c r="D15" i="53"/>
  <c r="B31" i="72" s="1"/>
  <c r="L67" i="9"/>
  <c r="M67" i="9" s="1"/>
  <c r="L64" i="9"/>
  <c r="M64" i="9" s="1"/>
  <c r="L66" i="9"/>
  <c r="M66" i="9" s="1"/>
  <c r="L65" i="9"/>
  <c r="M65" i="9" s="1"/>
  <c r="L68" i="9"/>
  <c r="M68" i="9" s="1"/>
  <c r="L63" i="9"/>
  <c r="M63" i="9" s="1"/>
  <c r="D59" i="9"/>
  <c r="M55" i="9" s="1"/>
  <c r="C68" i="9"/>
  <c r="D54" i="9"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<sst xmlns="http://schemas.openxmlformats.org/spreadsheetml/2006/main" count="7973" uniqueCount="3482">
  <si>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</si>
  <si>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</si>
  <si>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</si>
  <si>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</si>
  <si>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</si>
  <si>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</si>
  <si>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</si>
  <si>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</si>
  <si>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</si>
  <si>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</si>
  <si>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</si>
  <si>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</si>
  <si>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</si>
  <si>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</si>
  <si>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</si>
  <si>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</si>
  <si>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</si>
  <si>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</si>
  <si>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</si>
  <si>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</si>
  <si>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</si>
  <si>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</si>
  <si>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</si>
  <si>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</si>
  <si>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</si>
  <si>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</si>
  <si>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</si>
  <si>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</si>
  <si>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</si>
  <si>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</si>
  <si>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</si>
  <si>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</si>
  <si>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</si>
  <si>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</si>
  <si>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</si>
  <si>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</si>
  <si>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</si>
  <si>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</si>
  <si>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</si>
  <si>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</si>
  <si>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</si>
  <si>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</si>
  <si>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</si>
  <si>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</si>
  <si>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</si>
  <si>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</si>
  <si>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</si>
  <si>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</si>
  <si>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</si>
  <si>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</si>
  <si>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</si>
  <si>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</si>
  <si>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</si>
  <si>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</si>
  <si>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</si>
  <si>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</si>
  <si>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</si>
  <si>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</si>
  <si>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</si>
  <si>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</si>
  <si>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</si>
  <si>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</si>
  <si>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</si>
  <si>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</si>
  <si>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</si>
  <si>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</si>
  <si>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</si>
  <si>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</si>
  <si>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</si>
  <si>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</si>
  <si>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</si>
  <si>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</si>
  <si>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</si>
  <si>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</si>
  <si>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</si>
  <si>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</si>
  <si>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</si>
  <si>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</si>
  <si>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</si>
  <si>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</si>
  <si>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</si>
  <si>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</si>
  <si>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</si>
  <si>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</si>
  <si>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</si>
  <si>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</si>
  <si>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</si>
  <si>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</si>
  <si>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</si>
  <si>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</si>
  <si>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</si>
  <si>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</si>
  <si>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</si>
  <si>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</si>
  <si>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</si>
  <si>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</si>
  <si>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</si>
  <si>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</si>
  <si>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</si>
  <si>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</si>
  <si>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</si>
  <si>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</si>
  <si>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</si>
  <si>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</si>
  <si>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</si>
  <si>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</si>
  <si>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</si>
  <si>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</si>
  <si>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</si>
  <si>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</si>
  <si>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</si>
  <si>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</si>
  <si>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</si>
  <si>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</si>
  <si>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</si>
  <si>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</si>
  <si>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</si>
  <si>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</si>
  <si>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</si>
  <si>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</si>
  <si>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</si>
  <si>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</si>
  <si>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</si>
  <si>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</si>
  <si>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</si>
  <si>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</si>
  <si>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</si>
  <si>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</si>
  <si>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</si>
  <si>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</si>
  <si>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</si>
  <si>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</si>
  <si>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</si>
  <si>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</si>
  <si>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</si>
  <si>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</si>
  <si>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</si>
  <si>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</si>
  <si>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</si>
  <si>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</si>
  <si>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</si>
  <si>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</si>
  <si>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</si>
  <si>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</si>
  <si>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</si>
  <si>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</si>
  <si>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</si>
  <si>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</si>
  <si>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</si>
  <si>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</si>
  <si>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</si>
  <si>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</si>
  <si>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</si>
  <si>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</si>
  <si>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</si>
  <si>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</si>
  <si>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</si>
  <si>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</si>
  <si>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</si>
  <si>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</si>
  <si>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</si>
  <si>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</si>
  <si>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</si>
  <si>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</si>
  <si>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</si>
  <si>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</si>
  <si>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</si>
  <si>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</si>
  <si>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</si>
  <si>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</si>
  <si>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</si>
  <si>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</si>
  <si>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</si>
  <si>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</si>
  <si>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</si>
  <si>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</si>
  <si>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</si>
  <si>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</si>
  <si>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</si>
  <si>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</si>
  <si>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</si>
  <si>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</si>
  <si>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</si>
  <si>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</si>
  <si>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</si>
  <si>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</si>
  <si>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</si>
  <si>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</si>
  <si>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</si>
  <si>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</si>
  <si>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</si>
  <si>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</si>
  <si>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</si>
  <si>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</si>
  <si>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</si>
  <si>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</si>
  <si>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</si>
  <si>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</si>
  <si>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</si>
  <si>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</si>
  <si>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</si>
  <si>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</si>
  <si>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</si>
  <si>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</si>
  <si>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</si>
  <si>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</si>
  <si>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</si>
  <si>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</si>
  <si>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</si>
  <si>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</si>
  <si>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</si>
  <si>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</si>
  <si>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</si>
  <si>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</si>
  <si>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</si>
  <si>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</si>
  <si>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</si>
  <si>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</si>
  <si>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</si>
  <si>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</si>
  <si>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</si>
  <si>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</si>
  <si>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</si>
  <si>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</si>
  <si>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</si>
  <si>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</si>
  <si>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</si>
  <si>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</si>
  <si>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</si>
  <si>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</si>
  <si>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</si>
  <si>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</si>
  <si>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</si>
  <si>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</si>
  <si>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</si>
  <si>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</si>
  <si>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</si>
  <si>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</si>
  <si>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</si>
  <si>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</si>
  <si>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</si>
  <si>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</si>
  <si>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</si>
  <si>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</si>
  <si>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</si>
  <si>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</si>
  <si>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</si>
  <si>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</si>
  <si>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</si>
  <si>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</si>
  <si>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</si>
  <si>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</si>
  <si>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</si>
  <si>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</si>
  <si>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</si>
  <si>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</si>
  <si>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</si>
  <si>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</si>
  <si>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</si>
  <si>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</si>
  <si>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</si>
  <si>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</si>
  <si>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</si>
  <si>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</si>
  <si>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</si>
  <si>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</si>
  <si>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</si>
  <si>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</si>
  <si>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</si>
  <si>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</si>
  <si>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</si>
  <si>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</si>
  <si>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</si>
  <si>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</si>
  <si>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</si>
  <si>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</si>
  <si>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</si>
  <si>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</si>
  <si>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</si>
  <si>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</si>
  <si>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</si>
  <si>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</si>
  <si>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</si>
  <si>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</si>
  <si>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</si>
  <si>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</si>
  <si>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</si>
  <si>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</si>
  <si>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</si>
  <si>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</si>
  <si>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</si>
  <si>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</si>
  <si>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</si>
  <si>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</si>
  <si>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</si>
  <si>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</si>
  <si>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</si>
  <si>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</si>
  <si>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</si>
  <si>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</si>
  <si>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</si>
  <si>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</si>
  <si>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</si>
  <si>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</si>
  <si>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</si>
  <si>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</si>
  <si>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</si>
  <si>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</si>
  <si>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</si>
  <si>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</si>
  <si>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</si>
  <si>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</si>
  <si>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</si>
  <si>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</si>
  <si>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</si>
  <si>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</si>
  <si>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</si>
  <si>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</si>
  <si>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</si>
  <si>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</si>
  <si>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</si>
  <si>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</si>
  <si>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</si>
  <si>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</si>
  <si>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</si>
  <si>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</si>
  <si>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</si>
  <si>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</si>
  <si>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</si>
  <si>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</si>
  <si>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</si>
  <si>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</si>
  <si>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</si>
  <si>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</si>
  <si>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</si>
  <si>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</si>
  <si>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</si>
  <si>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</si>
  <si>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</si>
  <si>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</si>
  <si>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</si>
  <si>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</si>
  <si>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</si>
  <si>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</si>
  <si>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</si>
  <si>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</si>
  <si>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</si>
  <si>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</si>
  <si>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</si>
  <si>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</si>
  <si>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</si>
  <si>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</si>
  <si>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</si>
  <si>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</si>
  <si>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</si>
  <si>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</si>
  <si>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</si>
  <si>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</si>
  <si>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</si>
  <si>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</si>
  <si>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</si>
  <si>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</si>
  <si>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</si>
  <si>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</si>
  <si>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</si>
  <si>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</si>
  <si>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</si>
  <si>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</si>
  <si>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</si>
  <si>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</si>
  <si>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</si>
  <si>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</si>
  <si>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</si>
  <si>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</si>
  <si>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</si>
  <si>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</si>
  <si>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</si>
  <si>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</si>
  <si>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</si>
  <si>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</si>
  <si>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</si>
  <si>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</si>
  <si>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</si>
  <si>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</si>
  <si>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</si>
  <si>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</si>
  <si>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</si>
  <si>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</si>
  <si>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</si>
  <si>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</si>
  <si>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</si>
  <si>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</si>
  <si>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</si>
  <si>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</si>
  <si>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</si>
  <si>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</si>
  <si>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</si>
  <si>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</si>
  <si>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</si>
  <si>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</si>
  <si>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</si>
  <si>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</si>
  <si>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</si>
  <si>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</si>
  <si>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</si>
  <si>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</si>
  <si>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</si>
  <si>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</si>
  <si>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</si>
  <si>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</si>
  <si>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</si>
  <si>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</si>
  <si>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</si>
  <si>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</si>
  <si>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</si>
  <si>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</si>
  <si>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</si>
  <si>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</si>
  <si>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</si>
  <si>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</si>
  <si>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</si>
  <si>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</si>
  <si>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</si>
  <si>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</si>
  <si>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</si>
  <si>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</si>
  <si>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</si>
  <si>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</si>
  <si>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</si>
  <si>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</si>
  <si>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</si>
  <si>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</si>
  <si>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</si>
  <si>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</si>
  <si>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</si>
  <si>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</si>
  <si>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</si>
  <si>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</si>
  <si>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</si>
  <si>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</si>
  <si>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</si>
  <si>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</si>
  <si>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</si>
  <si>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</si>
  <si>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</si>
  <si>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</si>
  <si>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</si>
  <si>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</si>
  <si>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</si>
  <si>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</si>
  <si>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</si>
  <si>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</si>
  <si>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</si>
  <si>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</si>
  <si>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</si>
  <si>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</si>
  <si>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</si>
  <si>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</si>
  <si>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</si>
  <si>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</si>
  <si>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</si>
  <si>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</si>
  <si>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</si>
  <si>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</si>
  <si>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</si>
  <si>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</si>
  <si>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</si>
  <si>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</si>
  <si>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</si>
  <si>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</si>
  <si>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</si>
  <si>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</si>
  <si>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</si>
  <si>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</si>
  <si>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</si>
  <si>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</si>
  <si>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</si>
  <si>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</si>
  <si>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</si>
  <si>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</si>
  <si>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</si>
  <si>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</si>
  <si>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</si>
  <si>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</si>
  <si>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</si>
  <si>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</si>
  <si>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</si>
  <si>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</si>
  <si>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</si>
  <si>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</si>
  <si>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</si>
  <si>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</si>
  <si>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</si>
  <si>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</si>
  <si>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</si>
  <si>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</si>
  <si>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</si>
  <si>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</si>
  <si>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</si>
  <si>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</si>
  <si>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</si>
  <si>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</si>
  <si>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</si>
  <si>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</si>
  <si>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</si>
  <si>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</si>
  <si>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</si>
  <si>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</si>
  <si>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</si>
  <si>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</si>
  <si>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</si>
  <si>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</si>
  <si>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</si>
  <si>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</si>
  <si>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</si>
  <si>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</si>
  <si>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</si>
  <si>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</si>
  <si>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</si>
  <si>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</si>
  <si>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</si>
  <si>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</si>
  <si>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</si>
  <si>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</si>
  <si>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</si>
  <si>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</si>
  <si>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</si>
  <si>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</si>
  <si>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</si>
  <si>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</si>
  <si>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</si>
  <si>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</si>
  <si>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</si>
  <si>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</si>
  <si>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</si>
  <si>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</si>
  <si>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</si>
  <si>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</si>
  <si>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</si>
  <si>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</si>
  <si>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</si>
  <si>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</si>
  <si>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</si>
  <si>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</si>
  <si>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</si>
  <si>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</si>
  <si>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</si>
  <si>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</si>
  <si>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</si>
  <si>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</si>
  <si>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</si>
  <si>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</si>
  <si>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</si>
  <si>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</si>
  <si>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</si>
  <si>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</si>
  <si>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</si>
  <si>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</si>
  <si>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</si>
  <si>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</si>
  <si>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</si>
  <si>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</si>
  <si>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</si>
  <si>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</si>
  <si>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</si>
  <si>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</si>
  <si>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</si>
  <si>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</si>
  <si>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</si>
  <si>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</si>
  <si>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</si>
  <si>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</si>
  <si>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</si>
  <si>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</si>
  <si>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</si>
  <si>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</si>
  <si>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</si>
  <si>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</si>
  <si>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</si>
  <si>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</si>
  <si>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</si>
  <si>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</si>
  <si>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</si>
  <si>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</si>
  <si>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</si>
  <si>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</si>
  <si>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</si>
  <si>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</si>
  <si>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</si>
  <si>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</si>
  <si>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</si>
  <si>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</si>
  <si>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</si>
  <si>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</si>
  <si>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</si>
  <si>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</si>
  <si>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</si>
  <si>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</si>
  <si>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</si>
  <si>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</si>
  <si>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</si>
  <si>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</si>
  <si>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</si>
  <si>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</si>
  <si>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</si>
  <si>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</si>
  <si>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</si>
  <si>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</si>
  <si>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</si>
  <si>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</si>
  <si>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</si>
  <si>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</si>
  <si>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</si>
  <si>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</si>
  <si>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</si>
  <si>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</si>
  <si>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</si>
  <si>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</si>
  <si>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</si>
  <si>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</si>
  <si>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</si>
  <si>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</si>
  <si>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</si>
  <si>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</si>
  <si>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</si>
  <si>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</si>
  <si>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</si>
  <si>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</si>
  <si>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</si>
  <si>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</si>
  <si>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</si>
  <si>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</si>
  <si>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</si>
  <si>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</si>
  <si>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</si>
  <si>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</si>
  <si>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</si>
  <si>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</si>
  <si>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</si>
  <si>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</si>
  <si>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</si>
  <si>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</si>
  <si>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</si>
  <si>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</si>
  <si>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</si>
  <si>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</si>
  <si>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</si>
  <si>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</si>
  <si>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</si>
  <si>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</si>
  <si>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</si>
  <si>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</si>
  <si>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</si>
  <si>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</si>
  <si>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</si>
  <si>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</si>
  <si>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</si>
  <si>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</si>
  <si>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</si>
  <si>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</si>
  <si>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</si>
  <si>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</si>
  <si>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</si>
  <si>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</si>
  <si>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</si>
  <si>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</si>
  <si>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</si>
  <si>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</si>
  <si>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</si>
  <si>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</si>
  <si>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</si>
  <si>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</si>
  <si>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</si>
  <si>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</si>
  <si>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</si>
  <si>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</si>
  <si>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</si>
  <si>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</si>
  <si>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</si>
  <si>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</si>
  <si>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</si>
  <si>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</si>
  <si>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</si>
  <si>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</si>
  <si>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</si>
  <si>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</si>
  <si>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</si>
  <si>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</si>
  <si>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</si>
  <si>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</si>
  <si>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</si>
  <si>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</si>
  <si>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</si>
  <si>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</si>
  <si>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</si>
  <si>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</si>
  <si>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</si>
  <si>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</si>
  <si>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</si>
  <si>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</si>
  <si>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</si>
  <si>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</si>
  <si>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</si>
  <si>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</si>
  <si>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</si>
  <si>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</si>
  <si>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</si>
  <si>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</si>
  <si>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</si>
  <si>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</si>
  <si>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</si>
  <si>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</si>
  <si>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</si>
  <si>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</si>
  <si>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</si>
  <si>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</si>
  <si>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</si>
  <si>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</si>
  <si>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</si>
  <si>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</si>
  <si>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</si>
  <si>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</si>
  <si>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</si>
  <si>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</si>
  <si>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</si>
  <si>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</si>
  <si>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</si>
  <si>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</si>
  <si>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</si>
  <si>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</si>
  <si>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</si>
  <si>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</si>
  <si>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</si>
  <si>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</si>
  <si>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</si>
  <si>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</si>
  <si>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</si>
  <si>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</si>
  <si>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</si>
  <si>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</si>
  <si>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</si>
  <si>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</si>
  <si>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</si>
  <si>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</si>
  <si>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</si>
  <si>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</si>
  <si>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</si>
  <si>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</si>
  <si>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</si>
  <si>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</si>
  <si>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</si>
  <si>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</si>
  <si>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</si>
  <si>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</si>
  <si>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</si>
  <si>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</si>
  <si>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</si>
  <si>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</si>
  <si>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</si>
  <si>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</si>
  <si>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</si>
  <si>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</si>
  <si>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</si>
  <si>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</si>
  <si>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</si>
  <si>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</si>
  <si>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</si>
  <si>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</si>
  <si>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</si>
  <si>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</si>
  <si>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</si>
  <si>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</si>
  <si>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</si>
  <si>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</si>
  <si>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</si>
  <si>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</si>
  <si>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</si>
  <si>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</si>
  <si>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</si>
  <si>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</si>
  <si>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</si>
  <si>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</si>
  <si>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</si>
  <si>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</si>
  <si>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</si>
  <si>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</si>
  <si>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</si>
  <si>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</si>
  <si>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</si>
  <si>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</si>
  <si>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</si>
  <si>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</si>
  <si>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</si>
  <si>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</si>
  <si>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</si>
  <si>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</si>
  <si>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</si>
  <si>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</si>
  <si>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</si>
  <si>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</si>
  <si>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</si>
  <si>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</si>
  <si>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</si>
  <si>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</si>
  <si>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</si>
  <si>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</si>
  <si>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</si>
  <si>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</si>
  <si>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</si>
  <si>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</si>
  <si>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</si>
  <si>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</si>
  <si>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</si>
  <si>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</si>
  <si>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</si>
  <si>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</si>
  <si>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</si>
  <si>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</si>
  <si>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</si>
  <si>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</si>
  <si>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</si>
  <si>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</si>
  <si>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</si>
  <si>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</si>
  <si>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</si>
  <si>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</si>
  <si>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</si>
  <si>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</si>
  <si>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</si>
  <si>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</si>
  <si>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</si>
  <si>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</si>
  <si>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</si>
  <si>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</si>
  <si>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</si>
  <si>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</si>
  <si>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</si>
  <si>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</si>
  <si>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</si>
  <si>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</si>
  <si>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</si>
  <si>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</si>
  <si>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</si>
  <si>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</si>
  <si>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</si>
  <si>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</si>
  <si>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</si>
  <si>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</si>
  <si>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</si>
  <si>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</si>
  <si>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</si>
  <si>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</si>
  <si>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</si>
  <si>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</si>
  <si>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</si>
  <si>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</si>
  <si>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</si>
  <si>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</si>
  <si>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</si>
  <si>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</si>
  <si>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</si>
  <si>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</si>
  <si>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</si>
  <si>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</si>
  <si>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</si>
  <si>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</si>
  <si>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</si>
  <si>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</si>
  <si>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</si>
  <si>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</si>
  <si>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</si>
  <si>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</si>
  <si>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</si>
  <si>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</si>
  <si>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</si>
  <si>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</si>
  <si>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</si>
  <si>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</si>
  <si>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</si>
  <si>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</si>
  <si>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</si>
  <si>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</si>
  <si>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</si>
  <si>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</si>
  <si>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</si>
  <si>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</si>
  <si>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</si>
  <si>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</si>
  <si>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</si>
  <si>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</si>
  <si>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</si>
  <si>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</si>
  <si>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</si>
  <si>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</si>
  <si>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</si>
  <si>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</si>
  <si>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</si>
  <si>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</si>
  <si>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</si>
  <si>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</si>
  <si>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</si>
  <si>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</si>
  <si>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</si>
  <si>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</si>
  <si>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</si>
  <si>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</si>
  <si>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</si>
  <si>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</si>
  <si>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</si>
  <si>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</si>
  <si>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</si>
  <si>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</si>
  <si>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</si>
  <si>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</si>
  <si>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</si>
  <si>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</si>
  <si>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</si>
  <si>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</si>
  <si>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</si>
  <si>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</si>
  <si>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</si>
  <si>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</si>
  <si>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</si>
  <si>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</si>
  <si>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</si>
  <si>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</si>
  <si>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</si>
  <si>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</si>
  <si>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</si>
  <si>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</si>
  <si>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</si>
  <si>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</si>
  <si>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</si>
  <si>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</si>
  <si>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</si>
  <si>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</si>
  <si>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</si>
  <si>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</si>
  <si>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</si>
  <si>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</si>
  <si>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</si>
  <si>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</si>
  <si>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</si>
  <si>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</si>
  <si>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</si>
  <si>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</si>
  <si>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</si>
  <si>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</si>
  <si>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</si>
  <si>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</si>
  <si>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</si>
  <si>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</si>
  <si>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</si>
  <si>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</si>
  <si>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</si>
  <si>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</si>
  <si>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</si>
  <si>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</si>
  <si>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</si>
  <si>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</si>
  <si>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</si>
  <si>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</si>
  <si>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</si>
  <si>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</si>
  <si>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</si>
  <si>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</si>
  <si>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</si>
  <si>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</si>
  <si>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</si>
  <si>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</si>
  <si>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</si>
  <si>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</si>
  <si>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</si>
  <si>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</si>
  <si>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</si>
  <si>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</si>
  <si>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</si>
  <si>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</si>
  <si>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</si>
  <si>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</si>
  <si>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</si>
  <si>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</si>
  <si>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</si>
  <si>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</si>
  <si>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</si>
  <si>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</si>
  <si>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</si>
  <si>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</si>
  <si>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</si>
  <si>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</si>
  <si>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</si>
  <si>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</si>
  <si>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</si>
  <si>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</si>
  <si>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</si>
  <si>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</si>
  <si>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</si>
  <si>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</si>
  <si>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</si>
  <si>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</si>
  <si>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</si>
  <si>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</si>
  <si>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</si>
  <si>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</si>
  <si>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</si>
  <si>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</si>
  <si>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</si>
  <si>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</si>
  <si>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</si>
  <si>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</si>
  <si>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</si>
  <si>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</si>
  <si>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</si>
  <si>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</si>
  <si>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</si>
  <si>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</si>
  <si>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</si>
  <si>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</si>
  <si>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</si>
  <si>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</si>
  <si>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</si>
  <si>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</si>
  <si>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</si>
  <si>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</si>
  <si>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</si>
  <si>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</si>
  <si>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</si>
  <si>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</si>
  <si>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</si>
  <si>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</si>
  <si>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</si>
  <si>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</si>
  <si>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</si>
  <si>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</si>
  <si>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</si>
  <si>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</si>
  <si>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</si>
  <si>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</si>
  <si>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</si>
  <si>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</si>
  <si>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</si>
  <si>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</si>
  <si>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</si>
  <si>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</si>
  <si>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</si>
  <si>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</si>
  <si>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</si>
  <si>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</si>
  <si>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</si>
  <si>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</si>
  <si>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</si>
  <si>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</si>
  <si>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</si>
  <si>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</si>
  <si>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</si>
  <si>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</si>
  <si>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</si>
  <si>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</si>
  <si>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</si>
  <si>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</si>
  <si>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</si>
  <si>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</si>
  <si>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</si>
  <si>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</si>
  <si>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</si>
  <si>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</si>
  <si>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</si>
  <si>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</si>
  <si>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</si>
  <si>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</si>
  <si>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</si>
  <si>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</si>
  <si>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</si>
  <si>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</si>
  <si>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</si>
  <si>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</si>
  <si>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</si>
  <si>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</si>
  <si>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</si>
  <si>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</si>
  <si>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</si>
  <si>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</si>
  <si>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</si>
  <si>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</si>
  <si>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</si>
  <si>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</si>
  <si>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</si>
  <si>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</si>
  <si>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</si>
  <si>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</si>
  <si>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</si>
  <si>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</si>
  <si>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</si>
  <si>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</si>
  <si>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</si>
  <si>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</si>
  <si>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</si>
  <si>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</si>
  <si>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</si>
  <si>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</si>
  <si>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</si>
  <si>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</si>
  <si>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</si>
  <si>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</si>
  <si>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</si>
  <si>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</si>
  <si>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</si>
  <si>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</si>
  <si>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</si>
  <si>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</si>
  <si>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</si>
  <si>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</si>
  <si>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</si>
  <si>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</si>
  <si>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</si>
  <si>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</si>
  <si>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</si>
  <si>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</si>
  <si>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</si>
  <si>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</si>
  <si>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</si>
  <si>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</si>
  <si>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</si>
  <si>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</si>
  <si>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</si>
  <si>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</si>
  <si>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</si>
  <si>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</si>
  <si>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</si>
  <si>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</si>
  <si>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</si>
  <si>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</si>
  <si>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</si>
  <si>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</si>
  <si>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</si>
  <si>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</si>
  <si>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</si>
  <si>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</si>
  <si>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</si>
  <si>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</si>
  <si>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</si>
  <si>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</si>
  <si>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</si>
  <si>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</si>
  <si>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</si>
  <si>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</si>
  <si>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</si>
  <si>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</si>
  <si>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</si>
  <si>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</si>
  <si>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</si>
  <si>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</si>
  <si>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</si>
  <si>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</si>
  <si>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</si>
  <si>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</si>
  <si>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</si>
  <si>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</si>
  <si>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</si>
  <si>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</si>
  <si>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</si>
  <si>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</si>
  <si>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</si>
  <si>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</si>
  <si>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</si>
  <si>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</si>
  <si>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</si>
  <si>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</si>
  <si>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</si>
  <si>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</si>
  <si>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</si>
  <si>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</si>
  <si>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</si>
  <si>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</si>
  <si>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</si>
  <si>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</si>
  <si>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</si>
  <si>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</si>
  <si>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</si>
  <si>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</si>
  <si>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</si>
  <si>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</si>
  <si>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</si>
  <si>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</si>
  <si>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</si>
  <si>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</si>
  <si>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</si>
  <si>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</si>
  <si>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</si>
  <si>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</si>
  <si>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</si>
  <si>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</si>
  <si>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</si>
  <si>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</si>
  <si>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</si>
  <si>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</si>
  <si>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</si>
  <si>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</si>
  <si>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</si>
  <si>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</si>
  <si>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</si>
  <si>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</si>
  <si>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</si>
  <si>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</si>
  <si>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</si>
  <si>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</si>
  <si>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</si>
  <si>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</si>
  <si>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</si>
  <si>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</si>
  <si>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</si>
  <si>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</si>
  <si>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</si>
  <si>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</si>
  <si>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</si>
  <si>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</si>
  <si>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</si>
  <si>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</si>
  <si>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</si>
  <si>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</si>
  <si>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</si>
  <si>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</si>
  <si>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</si>
  <si>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</si>
  <si>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</si>
  <si>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</si>
  <si>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</si>
  <si>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</si>
  <si>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</si>
  <si>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</si>
  <si>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</si>
  <si>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</si>
  <si>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</si>
  <si>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</si>
  <si>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</si>
  <si>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</si>
  <si>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</si>
  <si>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</si>
  <si>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</si>
  <si>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</si>
  <si>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</si>
  <si>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</si>
  <si>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</si>
  <si>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</si>
  <si>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</si>
  <si>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</si>
  <si>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</si>
  <si>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</si>
  <si>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</si>
  <si>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</si>
  <si>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</si>
  <si>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</si>
  <si>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</si>
  <si>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</si>
  <si>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</si>
  <si>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</si>
  <si>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</si>
  <si>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</si>
  <si>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</si>
  <si>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</si>
  <si>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</si>
  <si>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</si>
  <si>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</si>
  <si>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</si>
  <si>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</si>
  <si>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</si>
  <si>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</si>
  <si>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</si>
  <si>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</si>
  <si>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</si>
  <si>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</si>
  <si>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</si>
  <si>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</si>
  <si>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</si>
  <si>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</si>
  <si>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</si>
  <si>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</si>
  <si>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</si>
  <si>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</si>
  <si>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</si>
  <si>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</si>
  <si>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</si>
  <si>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</si>
  <si>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</si>
  <si>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</si>
  <si>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</si>
  <si>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</si>
  <si>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</si>
  <si>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</si>
  <si>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</si>
  <si>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</si>
  <si>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</si>
  <si>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</si>
  <si>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</si>
  <si>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</si>
  <si>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</si>
  <si>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</si>
  <si>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</si>
  <si>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</si>
  <si>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</si>
  <si>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</si>
  <si>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</si>
  <si>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</si>
  <si>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</si>
  <si>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</si>
  <si>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</si>
  <si>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</si>
  <si>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</si>
  <si>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</si>
  <si>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</si>
  <si>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</si>
  <si>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</si>
  <si>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</si>
  <si>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</si>
  <si>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</si>
  <si>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</si>
  <si>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</si>
  <si>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</si>
  <si>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</si>
  <si>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</si>
  <si>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</si>
  <si>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</si>
  <si>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</si>
  <si>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</si>
  <si>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</si>
  <si>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</si>
  <si>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</si>
  <si>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</si>
  <si>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</si>
  <si>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</si>
  <si>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</si>
  <si>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</si>
  <si>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</si>
  <si>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</si>
  <si>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</si>
  <si>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</si>
  <si>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</si>
  <si>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</si>
  <si>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</si>
  <si>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</si>
  <si>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</si>
  <si>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</si>
  <si>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</si>
  <si>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</si>
  <si>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</si>
  <si>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</si>
  <si>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</si>
  <si>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</si>
  <si>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</si>
  <si>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</si>
  <si>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</si>
  <si>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</si>
  <si>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</si>
  <si>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</si>
  <si>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</si>
  <si>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</si>
  <si>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</si>
  <si>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</si>
  <si>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</si>
  <si>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</si>
  <si>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</si>
  <si>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</si>
  <si>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</si>
  <si>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</si>
  <si>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</si>
  <si>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</si>
  <si>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</si>
  <si>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</si>
  <si>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</si>
  <si>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</si>
  <si>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</si>
  <si>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</si>
  <si>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</si>
  <si>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</si>
  <si>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</si>
  <si>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</si>
  <si>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</si>
  <si>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</si>
  <si>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</si>
  <si>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</si>
  <si>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</si>
  <si>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</si>
  <si>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</si>
  <si>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</si>
  <si>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</si>
  <si>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</si>
  <si>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</si>
  <si>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</si>
  <si>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</si>
  <si>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</si>
  <si>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</si>
  <si>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</si>
  <si>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</si>
  <si>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</si>
  <si>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</si>
  <si>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</si>
  <si>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</si>
  <si>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</si>
  <si>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</si>
  <si>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</si>
  <si>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</si>
  <si>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</si>
  <si>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</si>
  <si>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</si>
  <si>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</si>
  <si>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</si>
  <si>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</si>
  <si>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</si>
  <si>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</si>
  <si>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</si>
  <si>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</si>
  <si>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</si>
  <si>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</si>
  <si>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</si>
  <si>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</si>
  <si>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</si>
  <si>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</si>
  <si>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</si>
  <si>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</si>
  <si>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</si>
  <si>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</si>
  <si>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</si>
  <si>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</si>
  <si>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</si>
  <si>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</si>
  <si>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</si>
  <si>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</si>
  <si>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</si>
  <si>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</si>
  <si>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</si>
  <si>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</si>
  <si>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</si>
  <si>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</si>
  <si>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</si>
  <si>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</si>
  <si>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</si>
  <si>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</si>
  <si>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</si>
  <si>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</si>
  <si>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</si>
  <si>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</si>
  <si>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</si>
  <si>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</si>
  <si>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</si>
  <si>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</si>
  <si>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</si>
  <si>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</si>
  <si>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</si>
  <si>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</si>
  <si>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</si>
  <si>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</si>
  <si>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</si>
  <si>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</si>
  <si>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</si>
  <si>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</si>
  <si>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</si>
  <si>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</si>
  <si>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</si>
  <si>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</si>
  <si>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</si>
  <si>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</si>
  <si>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</si>
  <si>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</si>
  <si>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</si>
  <si>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</si>
  <si>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</si>
  <si>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</si>
  <si>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</si>
  <si>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</si>
  <si>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</si>
  <si>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</si>
  <si>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</si>
  <si>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</si>
  <si>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</si>
  <si>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</si>
  <si>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</si>
  <si>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</si>
  <si>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</si>
  <si>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</si>
  <si>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</si>
  <si>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</si>
  <si>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</si>
  <si>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</si>
  <si>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</si>
  <si>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</si>
  <si>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</si>
  <si>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</si>
  <si>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</si>
  <si>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</si>
  <si>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</si>
  <si>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</si>
  <si>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</si>
  <si>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</si>
  <si>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</si>
  <si>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</si>
  <si>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</si>
  <si>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</si>
  <si>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</si>
  <si>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</si>
  <si>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</si>
  <si>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</si>
  <si>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</si>
  <si>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</si>
  <si>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</si>
  <si>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</si>
  <si>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</si>
  <si>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</si>
  <si>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</si>
  <si>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</si>
  <si>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</si>
  <si>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</si>
  <si>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</si>
  <si>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</si>
  <si>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</si>
  <si>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</si>
  <si>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</si>
  <si>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</si>
  <si>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</si>
  <si>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</si>
  <si>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</si>
  <si>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</si>
  <si>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</si>
  <si>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</si>
  <si>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</si>
  <si>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</si>
  <si>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</si>
  <si>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</si>
  <si>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</si>
  <si>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</si>
  <si>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</si>
  <si>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</si>
  <si>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</si>
  <si>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</si>
  <si>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</si>
  <si>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</si>
  <si>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</si>
  <si>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</si>
  <si>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</si>
  <si>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</si>
  <si>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</si>
  <si>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</si>
  <si>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</si>
  <si>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</si>
  <si>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</si>
  <si>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</si>
  <si>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</si>
  <si>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</si>
  <si>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</si>
  <si>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</si>
  <si>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</si>
  <si>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</si>
  <si>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</si>
  <si>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</si>
  <si>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</si>
  <si>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</si>
  <si>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</si>
  <si>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</si>
  <si>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</si>
  <si>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</si>
  <si>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</si>
  <si>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</si>
  <si>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</si>
  <si>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</si>
  <si>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</si>
  <si>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</si>
  <si>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</si>
  <si>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</si>
  <si>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</si>
  <si>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</si>
  <si>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</si>
  <si>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</si>
  <si>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</si>
  <si>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</si>
  <si>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</si>
  <si>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</si>
  <si>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</si>
  <si>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</si>
  <si>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</si>
  <si>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</si>
  <si>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</si>
  <si>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</si>
  <si>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</si>
  <si>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</si>
  <si>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</si>
  <si>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</si>
  <si>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</si>
  <si>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</si>
  <si>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</si>
  <si>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</si>
  <si>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</si>
  <si>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</si>
  <si>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</si>
  <si>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</si>
  <si>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</si>
  <si>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</si>
  <si>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</si>
  <si>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</si>
  <si>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</si>
  <si>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</si>
  <si>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</si>
  <si>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</si>
  <si>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</si>
  <si>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</si>
  <si>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</si>
  <si>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</si>
  <si>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</si>
  <si>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</si>
  <si>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</si>
  <si>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</si>
  <si>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</si>
  <si>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</si>
  <si>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</si>
  <si>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</si>
  <si>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</si>
  <si>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</si>
  <si>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</si>
  <si>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</si>
  <si>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</si>
  <si>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</si>
  <si>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</si>
  <si>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</si>
  <si>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</si>
  <si>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</si>
  <si>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</si>
  <si>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</si>
  <si>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</si>
  <si>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</si>
  <si>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</si>
  <si>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</si>
  <si>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</si>
  <si>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</si>
  <si>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</si>
  <si>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</si>
  <si>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</si>
  <si>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</si>
  <si>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</si>
  <si>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</si>
  <si>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</si>
  <si>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</si>
  <si>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</si>
  <si>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</si>
  <si>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</si>
  <si>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</si>
  <si>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</si>
  <si>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</si>
  <si>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</si>
  <si>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</si>
  <si>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</si>
  <si>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</si>
  <si>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</si>
  <si>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</si>
  <si>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</si>
  <si>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</si>
  <si>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</si>
  <si>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</si>
  <si>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</si>
  <si>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</si>
  <si>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</si>
  <si>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</si>
  <si>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</si>
  <si>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</si>
  <si>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</si>
  <si>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</si>
  <si>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</si>
  <si>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</si>
  <si>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</si>
  <si>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</si>
  <si>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</si>
  <si>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</si>
  <si>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</si>
  <si>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</si>
  <si>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</si>
  <si>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</si>
  <si>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</si>
  <si>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</si>
  <si>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</si>
  <si>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</si>
  <si>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</si>
  <si>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</si>
  <si>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</si>
  <si>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</si>
  <si>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</si>
  <si>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</si>
  <si>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</si>
  <si>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</si>
  <si>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</si>
  <si>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</si>
  <si>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</si>
  <si>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</si>
  <si>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</si>
  <si>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</si>
  <si>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</si>
  <si>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</si>
  <si>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</si>
  <si>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</si>
  <si>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</si>
  <si>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</si>
  <si>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</si>
  <si>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</si>
  <si>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</si>
  <si>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</si>
  <si>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</si>
  <si>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</si>
  <si>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</si>
  <si>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</si>
  <si>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</si>
  <si>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</si>
  <si>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</si>
  <si>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</si>
  <si>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</si>
  <si>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</si>
  <si>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</si>
  <si>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</si>
  <si>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</si>
  <si>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</si>
  <si>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</si>
  <si>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</si>
  <si>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</si>
  <si>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</si>
  <si>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</si>
  <si>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</si>
  <si>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</si>
  <si>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</si>
  <si>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</si>
  <si>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</si>
  <si>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</si>
  <si>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</si>
  <si>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</si>
  <si>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</si>
  <si>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</si>
  <si>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</si>
  <si>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</si>
  <si>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</si>
  <si>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</si>
  <si>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</si>
  <si>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</si>
  <si>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</si>
  <si>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</si>
  <si>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</si>
  <si>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</si>
  <si>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</si>
  <si>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</si>
  <si>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</si>
  <si>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</si>
  <si>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</si>
  <si>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</si>
  <si>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</si>
  <si>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</si>
  <si>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</si>
  <si>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</si>
  <si>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</si>
  <si>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</si>
  <si>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</si>
  <si>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</si>
  <si>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</si>
  <si>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</si>
  <si>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</si>
  <si>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</si>
  <si>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</si>
  <si>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</si>
  <si>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</si>
  <si>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</si>
  <si>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</si>
  <si>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</si>
  <si>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</si>
  <si>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</si>
  <si>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</si>
  <si>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</si>
  <si>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</si>
  <si>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</si>
  <si>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</si>
  <si>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</si>
  <si>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</si>
  <si>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</si>
  <si>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</si>
  <si>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</si>
  <si>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</si>
  <si>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</si>
  <si>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</si>
  <si>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</si>
  <si>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</si>
  <si>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</si>
  <si>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</si>
  <si>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</si>
  <si>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</si>
  <si>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</si>
  <si>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</si>
  <si>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</si>
  <si>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</si>
  <si>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</si>
  <si>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</si>
  <si>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</si>
  <si>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</si>
  <si>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</si>
  <si>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</si>
  <si>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</si>
  <si>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</si>
  <si>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</si>
  <si>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</si>
  <si>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</si>
  <si>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</si>
  <si>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</si>
  <si>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</si>
  <si>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</si>
  <si>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</si>
  <si>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</si>
  <si>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</si>
  <si>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</si>
  <si>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</si>
  <si>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</si>
  <si>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</si>
  <si>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</si>
  <si>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</si>
  <si>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</si>
  <si>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</si>
  <si>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</si>
  <si>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</si>
  <si>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</si>
  <si>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</si>
  <si>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</si>
  <si>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</si>
  <si>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</si>
  <si>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</si>
  <si>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</si>
  <si>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</si>
  <si>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</si>
  <si>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</si>
  <si>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</si>
  <si>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</si>
  <si>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</si>
  <si>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</si>
  <si>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</si>
  <si>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</si>
  <si>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</si>
  <si>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</si>
  <si>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</si>
  <si>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</si>
  <si>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</si>
  <si>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</si>
  <si>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</si>
  <si>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</si>
  <si>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</si>
  <si>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</si>
  <si>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</si>
  <si>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</si>
  <si>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</si>
  <si>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</si>
  <si>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</si>
  <si>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</si>
  <si>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</si>
  <si>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</si>
  <si>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</si>
  <si>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</si>
  <si>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</si>
  <si>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</si>
  <si>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</si>
  <si>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</si>
  <si>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</si>
  <si>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</si>
  <si>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</si>
  <si>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</si>
  <si>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</si>
  <si>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</si>
  <si>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</si>
  <si>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</si>
  <si>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</si>
  <si>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</si>
  <si>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</si>
  <si>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</si>
  <si>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</si>
  <si>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</si>
  <si>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</si>
  <si>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</si>
  <si>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</si>
  <si>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</si>
  <si>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</si>
  <si>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</si>
  <si>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</si>
  <si>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</si>
  <si>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</si>
  <si>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</si>
  <si>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</si>
  <si>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</si>
  <si>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</si>
  <si>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</si>
  <si>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</si>
  <si>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</si>
  <si>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</si>
  <si>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</si>
  <si>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</si>
  <si>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</si>
  <si>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</si>
  <si>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</si>
  <si>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</si>
  <si>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</si>
  <si>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</si>
  <si>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</si>
  <si>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</si>
  <si>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</si>
  <si>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</si>
  <si>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</si>
  <si>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</si>
  <si>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</si>
  <si>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</si>
  <si>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</si>
  <si>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</si>
  <si>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</si>
  <si>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</si>
  <si>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</si>
  <si>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</si>
  <si>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</si>
  <si>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</si>
  <si>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</si>
  <si>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</si>
  <si>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</si>
  <si>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</si>
  <si>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</si>
  <si>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</si>
  <si>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</si>
  <si>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</si>
  <si>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</si>
  <si>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</si>
  <si>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</si>
  <si>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</si>
  <si>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</si>
  <si>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</si>
  <si>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</si>
  <si>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</si>
  <si>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</si>
  <si>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</si>
  <si>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</si>
  <si>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</si>
  <si>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</si>
  <si>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</si>
  <si>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</si>
  <si>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</si>
  <si>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</si>
  <si>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</si>
  <si>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</si>
  <si>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</si>
  <si>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</si>
  <si>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</si>
  <si>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</si>
  <si>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</si>
  <si>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</si>
  <si>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</si>
  <si>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</si>
  <si>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</si>
  <si>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</si>
  <si>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</si>
  <si>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</si>
  <si>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</si>
  <si>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</si>
  <si>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</si>
  <si>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</si>
  <si>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</si>
  <si>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</si>
  <si>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</si>
  <si>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</si>
  <si>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</si>
  <si>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</si>
  <si>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</si>
  <si>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</si>
  <si>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</si>
  <si>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</si>
  <si>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</si>
  <si>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</si>
  <si>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</si>
  <si>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</si>
  <si>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</si>
  <si>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</si>
  <si>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</si>
  <si>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</si>
  <si>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</si>
  <si>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</si>
  <si>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</si>
  <si>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</si>
  <si>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</si>
  <si>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</si>
  <si>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</si>
  <si>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</si>
  <si>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</si>
  <si>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</si>
  <si>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</si>
  <si>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</si>
  <si>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</si>
  <si>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</si>
  <si>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</si>
  <si>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</si>
  <si>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</si>
  <si>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</si>
  <si>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</si>
  <si>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</si>
  <si>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</si>
  <si>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</si>
  <si>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</si>
  <si>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</si>
  <si>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</si>
  <si>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</si>
  <si>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</si>
  <si>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</si>
  <si>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</si>
  <si>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</si>
  <si>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</si>
  <si>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</si>
  <si>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</si>
  <si>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</si>
  <si>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</si>
  <si>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</si>
  <si>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</si>
  <si>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</si>
  <si>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</si>
  <si>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</si>
  <si>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</si>
  <si>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</si>
  <si>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</si>
  <si>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</si>
  <si>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</si>
  <si>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</si>
  <si>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</si>
  <si>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</si>
  <si>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</si>
  <si>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</si>
  <si>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</si>
  <si>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</si>
  <si>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</si>
  <si>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</si>
  <si>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</si>
  <si>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</si>
  <si>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</si>
  <si>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</si>
  <si>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</si>
  <si>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</si>
  <si>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</si>
  <si>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</si>
  <si>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</si>
  <si>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</si>
  <si>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</si>
  <si>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</si>
  <si>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</si>
  <si>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</si>
  <si>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</si>
  <si>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</si>
  <si>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</si>
  <si>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</si>
  <si>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</si>
  <si>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</si>
  <si>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</si>
  <si>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</si>
  <si>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</si>
  <si>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</si>
  <si>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</si>
  <si>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</si>
  <si>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</si>
  <si>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</si>
  <si>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</si>
  <si>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</si>
  <si>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</si>
  <si>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</si>
  <si>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</si>
  <si>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</si>
  <si>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</si>
  <si>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</si>
  <si>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</si>
  <si>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</si>
  <si>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</si>
  <si>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</si>
  <si>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</si>
  <si>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</si>
  <si>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</si>
  <si>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</si>
  <si>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</si>
  <si>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</si>
  <si>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</si>
  <si>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</si>
  <si>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</si>
  <si>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</si>
  <si>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</si>
  <si>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</si>
  <si>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</si>
  <si>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</si>
  <si>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</si>
  <si>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</si>
  <si>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</si>
  <si>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</si>
  <si>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</si>
  <si>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</si>
  <si>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</si>
  <si>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</si>
  <si>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</si>
  <si>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</si>
  <si>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</si>
  <si>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</si>
  <si>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</si>
  <si>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</si>
  <si>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</si>
  <si>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</si>
  <si>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</si>
  <si>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</si>
  <si>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</si>
  <si>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</si>
  <si>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</si>
  <si>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</si>
  <si>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</si>
  <si>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</si>
  <si>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</si>
  <si>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</si>
  <si>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</si>
  <si>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</si>
  <si>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</si>
  <si>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</si>
  <si>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</si>
  <si>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</si>
  <si>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</si>
  <si>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</si>
  <si>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</si>
  <si>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</si>
  <si>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</si>
  <si>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</si>
  <si>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</si>
  <si>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</si>
  <si>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</si>
  <si>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</si>
  <si>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</si>
  <si>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</si>
  <si>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</si>
  <si>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</si>
  <si>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</si>
  <si>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</si>
  <si>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</si>
  <si>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</si>
  <si>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</si>
  <si>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</si>
  <si>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</si>
  <si>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</si>
  <si>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</si>
  <si>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</si>
  <si>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</si>
  <si>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</si>
  <si>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</si>
  <si>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</si>
  <si>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</si>
  <si>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</si>
  <si>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</si>
  <si>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</si>
  <si>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</si>
  <si>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</si>
  <si>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</si>
  <si>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</si>
  <si>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</si>
  <si>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</si>
  <si>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</si>
  <si>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</si>
  <si>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</si>
  <si>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</si>
  <si>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</si>
  <si>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</si>
  <si>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</si>
  <si>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</si>
  <si>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</si>
  <si>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</si>
  <si>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</si>
  <si>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</si>
  <si>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</si>
  <si>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</si>
  <si>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</si>
  <si>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</si>
  <si>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</si>
  <si>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</si>
  <si>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</si>
  <si>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</si>
  <si>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</si>
  <si>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</si>
  <si>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</si>
  <si>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</si>
  <si>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</si>
  <si>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</si>
  <si>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</si>
  <si>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</si>
  <si>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</si>
  <si>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</si>
  <si>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</si>
  <si>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</si>
  <si>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</si>
  <si>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</si>
  <si>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</si>
  <si>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</si>
  <si>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</si>
  <si>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</si>
  <si>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</si>
  <si>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</si>
  <si>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</si>
  <si>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</si>
  <si>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</si>
  <si>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</si>
  <si>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</si>
  <si>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</si>
  <si>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</si>
  <si>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</si>
  <si>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</si>
  <si>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</si>
  <si>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</si>
  <si>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</si>
  <si>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</si>
  <si>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</si>
  <si>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</si>
  <si>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</si>
  <si>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</si>
  <si>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</si>
  <si>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</si>
  <si>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</si>
  <si>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</si>
  <si>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</si>
  <si>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</si>
  <si>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</si>
  <si>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</si>
  <si>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</si>
  <si>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</si>
  <si>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</si>
  <si>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</si>
  <si>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</si>
  <si>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</si>
  <si>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</si>
  <si>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</si>
  <si>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</si>
  <si>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</si>
  <si>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</si>
  <si>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</si>
  <si>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</si>
  <si>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</si>
  <si>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</si>
  <si>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</si>
  <si>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</si>
  <si>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</si>
  <si>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</si>
  <si>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</si>
  <si>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</si>
  <si>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</si>
  <si>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</si>
  <si>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</si>
  <si>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</si>
  <si>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</si>
  <si>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</si>
  <si>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</si>
  <si>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</si>
  <si>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</si>
  <si>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</si>
  <si>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</si>
  <si>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</si>
  <si>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</si>
  <si>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</si>
  <si>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</si>
  <si>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</si>
  <si>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</si>
  <si>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</si>
  <si>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</si>
  <si>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</si>
  <si>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</si>
  <si>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</si>
  <si>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</si>
  <si>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</si>
  <si>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</si>
  <si>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</si>
  <si>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</si>
  <si>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</si>
  <si>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</si>
  <si>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</si>
  <si>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</si>
  <si>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</si>
  <si>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</si>
  <si>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</si>
  <si>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</si>
  <si>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</si>
  <si>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</si>
  <si>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</si>
  <si>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</si>
  <si>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</si>
  <si>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</si>
  <si>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</si>
  <si>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</si>
  <si>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</si>
  <si>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</si>
  <si>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</si>
  <si>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</si>
  <si>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</si>
  <si>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</si>
  <si>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</si>
  <si>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</si>
  <si>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</si>
  <si>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</si>
  <si>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</si>
  <si>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</si>
  <si>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</si>
  <si>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</si>
  <si>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</si>
  <si>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</si>
  <si>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</si>
  <si>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</si>
  <si>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</si>
  <si>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</si>
  <si>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</si>
  <si>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</si>
  <si>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</si>
  <si>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</si>
  <si>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</si>
  <si>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</si>
  <si>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</si>
  <si>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</si>
  <si>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</si>
  <si>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</si>
  <si>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</si>
  <si>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</si>
  <si>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</si>
  <si>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</si>
  <si>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</si>
  <si>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</si>
  <si>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</si>
  <si>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</si>
  <si>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</si>
  <si>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</si>
  <si>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</si>
  <si>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</si>
  <si>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</si>
  <si>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</si>
  <si>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</si>
  <si>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</si>
  <si>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</si>
  <si>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</si>
  <si>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</si>
  <si>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</si>
  <si>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</si>
  <si>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</si>
  <si>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</si>
  <si>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</si>
  <si>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</si>
  <si>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</si>
  <si>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</si>
  <si>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</si>
  <si>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</si>
  <si>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</si>
  <si>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</si>
  <si>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</si>
  <si>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</si>
  <si>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</si>
  <si>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</si>
  <si>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</si>
  <si>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</si>
  <si>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</si>
  <si>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</si>
  <si>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</si>
  <si>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</si>
  <si>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</si>
  <si>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</si>
  <si>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</si>
  <si>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</si>
  <si>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</si>
  <si>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</si>
  <si>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</si>
  <si>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</si>
  <si>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</si>
  <si>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</si>
  <si>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</si>
  <si>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</si>
  <si>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</si>
  <si>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</si>
  <si>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</si>
  <si>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</si>
  <si>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</si>
  <si>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</si>
  <si>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</si>
  <si>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</si>
  <si>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</si>
  <si>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</si>
  <si>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</si>
  <si>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</si>
  <si>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</si>
  <si>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</si>
  <si>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</si>
  <si>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</si>
  <si>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</si>
  <si>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</si>
  <si>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</si>
  <si>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</si>
  <si>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</si>
  <si>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</si>
  <si>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</si>
  <si>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</si>
  <si>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</si>
  <si>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</si>
  <si>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</si>
  <si>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</si>
  <si>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</si>
  <si>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</si>
  <si>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</si>
  <si>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</si>
  <si>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</si>
  <si>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</si>
  <si>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</si>
  <si>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</si>
  <si>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</si>
  <si>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</si>
  <si>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</si>
  <si>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</si>
  <si>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</si>
  <si>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</si>
  <si>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</si>
  <si>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</si>
  <si>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</si>
  <si>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</si>
  <si>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</si>
  <si>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</si>
  <si>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</si>
  <si>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</si>
  <si>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</si>
  <si>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</si>
  <si>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</si>
  <si>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</si>
  <si>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</si>
  <si>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</si>
  <si>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</si>
  <si>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</si>
  <si>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</si>
  <si>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</si>
  <si>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</si>
  <si>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</si>
  <si>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</si>
  <si>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</si>
  <si>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</si>
  <si>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</si>
  <si>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</si>
  <si>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</si>
  <si>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</si>
  <si>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</si>
  <si>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</si>
  <si>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</si>
  <si>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</si>
  <si>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</si>
  <si>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</si>
  <si>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</si>
  <si>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</si>
  <si>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</si>
  <si>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</si>
  <si>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</si>
  <si>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</si>
  <si>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</si>
  <si>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</si>
  <si>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</si>
  <si>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</si>
  <si>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</si>
  <si>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</si>
  <si>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</si>
  <si>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</si>
  <si>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</si>
  <si>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</si>
  <si>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</si>
  <si>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</si>
  <si>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</si>
  <si>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</si>
  <si>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</si>
  <si>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</si>
  <si>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</si>
  <si>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</si>
  <si>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</si>
  <si>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</si>
  <si>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</si>
  <si>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</si>
  <si>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</si>
  <si>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</si>
  <si>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</si>
  <si>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</si>
  <si>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</si>
  <si>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</si>
  <si>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</si>
  <si>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</si>
  <si>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</si>
  <si>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</si>
  <si>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</si>
  <si>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</si>
  <si>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</si>
  <si>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</si>
  <si>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</si>
  <si>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</si>
  <si>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</si>
  <si>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</si>
  <si>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</si>
  <si>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</si>
  <si>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</si>
  <si>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</si>
  <si>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</si>
  <si>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</si>
  <si>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</si>
  <si>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</si>
  <si>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</si>
  <si>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</si>
  <si>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</si>
  <si>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</si>
  <si>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</si>
  <si>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</si>
  <si>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</si>
  <si>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</si>
  <si>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</si>
  <si>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</si>
  <si>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</si>
  <si>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</si>
  <si>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</si>
  <si>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</si>
  <si>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</si>
  <si>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</si>
  <si>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</si>
  <si>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</si>
  <si>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</si>
  <si>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</si>
  <si>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</si>
  <si>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</si>
  <si>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</si>
  <si>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</si>
  <si>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</si>
  <si>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</si>
  <si>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</si>
  <si>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</si>
  <si>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</si>
  <si>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</si>
  <si>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</si>
  <si>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</si>
  <si>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</si>
  <si>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</si>
  <si>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</si>
  <si>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</si>
  <si>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</si>
  <si>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</si>
  <si>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</si>
  <si>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</si>
  <si>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</si>
  <si>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</si>
  <si>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</si>
  <si>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</si>
  <si>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</si>
  <si>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</si>
  <si>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</si>
  <si>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</si>
  <si>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</si>
  <si>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</si>
  <si>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</si>
  <si>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</si>
  <si>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</si>
  <si>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</si>
  <si>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</si>
  <si>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</si>
  <si>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</si>
  <si>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</si>
  <si>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</si>
  <si>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</si>
  <si>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</si>
  <si>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</si>
  <si>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</si>
  <si>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</si>
  <si>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</si>
  <si>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</si>
  <si>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</si>
  <si>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</si>
  <si>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</si>
  <si>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</si>
  <si>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</si>
  <si>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</si>
  <si>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</si>
  <si>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</si>
  <si>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</si>
  <si>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</si>
  <si>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</si>
  <si>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</si>
  <si>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</si>
  <si>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</si>
  <si>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</si>
  <si>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</si>
  <si>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</si>
  <si>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</si>
  <si>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</si>
  <si>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</si>
  <si>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</si>
  <si>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</si>
  <si>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</si>
  <si>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</si>
  <si>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</si>
  <si>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</si>
  <si>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</si>
  <si>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</si>
  <si>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</si>
  <si>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</si>
  <si>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</si>
  <si>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</si>
  <si>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</si>
  <si>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</si>
  <si>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</si>
  <si>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</si>
  <si>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</si>
  <si>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</si>
  <si>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</si>
  <si>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</si>
  <si>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</si>
  <si>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</si>
  <si>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</si>
  <si>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</si>
  <si>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</si>
  <si>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</si>
  <si>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</si>
  <si>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</si>
  <si>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</si>
  <si>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</si>
  <si>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</si>
  <si>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</si>
  <si>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</si>
  <si>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</si>
  <si>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</si>
  <si>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</si>
  <si>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</si>
  <si>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</si>
  <si>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</si>
  <si>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</si>
  <si>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</si>
  <si>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</si>
  <si>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</si>
  <si>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</si>
  <si>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</si>
  <si>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</si>
  <si>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</si>
  <si>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</si>
  <si>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</si>
  <si>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</si>
  <si>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</si>
  <si>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</si>
  <si>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</si>
  <si>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</si>
  <si>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</si>
  <si>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</si>
  <si>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</si>
  <si>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</si>
  <si>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</si>
  <si>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</si>
  <si>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</si>
  <si>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</si>
  <si>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</si>
  <si>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</si>
  <si>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</si>
  <si>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</si>
  <si>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</si>
  <si>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</si>
  <si>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</si>
  <si>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</si>
  <si>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</si>
  <si>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</si>
  <si>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</si>
  <si>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</si>
  <si>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</si>
  <si>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</si>
  <si>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</si>
  <si>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</si>
  <si>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</si>
  <si>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</si>
  <si>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</si>
  <si>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</si>
  <si>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</si>
  <si>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</si>
  <si>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</si>
  <si>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</si>
  <si>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</si>
  <si>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</si>
  <si>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</si>
  <si>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</si>
  <si>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</si>
  <si>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</si>
  <si>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</si>
  <si>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</si>
  <si>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</si>
  <si>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</si>
  <si>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</si>
  <si>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</si>
  <si>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</si>
  <si>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</si>
  <si>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</si>
  <si>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</si>
  <si>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</si>
  <si>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</si>
  <si>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</si>
  <si>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</si>
  <si>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</si>
  <si>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</si>
  <si>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</si>
  <si>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</si>
  <si>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</si>
  <si>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</si>
  <si>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</si>
  <si>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</si>
  <si>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</si>
  <si>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</si>
  <si>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</si>
  <si>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</si>
  <si>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</si>
  <si>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</si>
  <si>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</si>
  <si>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</si>
  <si>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</si>
  <si>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</si>
  <si>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</si>
  <si>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</si>
  <si>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</si>
  <si>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</si>
  <si>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</si>
  <si>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</si>
  <si>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</si>
  <si>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</si>
  <si>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</si>
  <si>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</si>
  <si>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</si>
  <si>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</si>
  <si>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</si>
  <si>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</si>
  <si>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</si>
  <si>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</si>
  <si>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</si>
  <si>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</si>
  <si>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</si>
  <si>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</si>
  <si>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</si>
  <si>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</si>
  <si>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</si>
  <si>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</si>
  <si>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</si>
  <si>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</si>
  <si>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</si>
  <si>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</si>
  <si>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</si>
  <si>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</si>
  <si>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</si>
  <si>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</si>
  <si>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</si>
  <si>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</si>
  <si>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</si>
  <si>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</si>
  <si>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</si>
  <si>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</si>
  <si>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</si>
  <si>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</si>
  <si>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</si>
  <si>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</si>
  <si>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</si>
  <si>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</si>
  <si>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</si>
  <si>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</si>
  <si>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</si>
  <si>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</si>
  <si>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</si>
  <si>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</si>
  <si>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</si>
  <si>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</si>
  <si>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</si>
  <si>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</si>
  <si>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</si>
  <si>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</si>
  <si>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</si>
  <si>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</si>
  <si>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</si>
  <si>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</si>
  <si>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</si>
  <si>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</si>
  <si>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</si>
  <si>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</si>
  <si>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</si>
  <si>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</si>
  <si>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</si>
  <si>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</si>
  <si>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</si>
  <si>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</si>
  <si>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</si>
  <si>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</si>
  <si>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</si>
  <si>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</si>
  <si>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</si>
  <si>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</si>
  <si>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</si>
  <si>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</si>
  <si>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</si>
  <si>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</si>
  <si>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</si>
  <si>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</si>
  <si>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</si>
  <si>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</si>
  <si>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</si>
  <si>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</si>
  <si>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</si>
  <si>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</si>
  <si>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</si>
  <si>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</si>
  <si>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</si>
  <si>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</si>
  <si>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</si>
  <si>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</si>
  <si>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</si>
  <si>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</si>
  <si>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</si>
  <si>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</si>
  <si>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</si>
  <si>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</si>
  <si>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</si>
  <si>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</si>
  <si>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</si>
  <si>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</si>
  <si>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</si>
  <si>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</si>
  <si>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</si>
  <si>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</si>
  <si>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</si>
  <si>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</si>
  <si>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</si>
  <si>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</si>
  <si>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</si>
  <si>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</si>
  <si>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</si>
  <si>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</si>
  <si>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</si>
  <si>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</si>
  <si>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</si>
  <si>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</si>
  <si>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</si>
  <si>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</si>
  <si>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</si>
  <si>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</si>
  <si>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</si>
  <si>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</si>
  <si>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</si>
  <si>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</si>
  <si>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</si>
  <si>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</si>
  <si>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</si>
  <si>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</si>
  <si>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</si>
  <si>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</si>
  <si>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</si>
  <si>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</si>
  <si>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</si>
  <si>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</si>
  <si>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</si>
  <si>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</si>
  <si>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</si>
  <si>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</si>
  <si>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</si>
  <si>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</si>
  <si>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</si>
  <si>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</si>
  <si>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</si>
  <si>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</si>
  <si>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</si>
  <si>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</si>
  <si>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</si>
  <si>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</si>
  <si>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</si>
  <si>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</si>
  <si>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</si>
  <si>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</si>
  <si>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</si>
  <si>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</si>
  <si>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</si>
  <si>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</si>
  <si>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</si>
  <si>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</si>
  <si>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</si>
  <si>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</si>
  <si>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</si>
  <si>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</si>
  <si>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</si>
  <si>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</si>
  <si>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</si>
  <si>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</si>
  <si>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</si>
  <si>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</si>
  <si>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</si>
  <si>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</si>
  <si>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</si>
  <si>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</si>
  <si>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</si>
  <si>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</si>
  <si>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</si>
  <si>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</si>
  <si>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</si>
  <si>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</si>
  <si>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</si>
  <si>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</si>
  <si>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</si>
  <si>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</si>
  <si>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</si>
  <si>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</si>
  <si>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</si>
  <si>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</si>
  <si>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</si>
  <si>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</si>
  <si>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</si>
  <si>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</si>
  <si>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</si>
  <si>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</si>
  <si>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</si>
  <si>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</si>
  <si>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</si>
  <si>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</si>
  <si>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</si>
  <si>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</si>
  <si>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</si>
  <si>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</si>
  <si>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</si>
  <si>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</si>
  <si>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</si>
  <si>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</si>
  <si>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</si>
  <si>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</si>
  <si>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</si>
  <si>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</si>
  <si>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</si>
  <si>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</si>
  <si>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</si>
  <si>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</si>
  <si>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</si>
  <si>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</si>
  <si>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</si>
  <si>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</si>
  <si>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</si>
  <si>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</si>
  <si>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</si>
  <si>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</si>
  <si>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</si>
  <si>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</si>
  <si>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</si>
  <si>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</si>
  <si>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</si>
  <si>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</si>
  <si>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</si>
  <si>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</si>
  <si>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</si>
  <si>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</si>
  <si>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</si>
  <si>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</si>
  <si>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</si>
  <si>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</si>
  <si>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</si>
  <si>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</si>
  <si>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</si>
  <si>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</si>
  <si>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</si>
  <si>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</si>
  <si>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</si>
  <si>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</si>
  <si>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</si>
  <si>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</si>
  <si>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</si>
  <si>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</si>
  <si>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</si>
  <si>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</si>
  <si>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</si>
  <si>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</si>
  <si>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</si>
  <si>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</si>
  <si>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</si>
  <si>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</si>
  <si>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</si>
  <si>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</si>
  <si>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</si>
  <si>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</si>
  <si>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</si>
  <si>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</si>
  <si>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</si>
  <si>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</si>
  <si>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</si>
  <si>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</si>
  <si>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</si>
  <si>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</si>
  <si>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</si>
  <si>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</si>
  <si>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</si>
  <si>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</si>
  <si>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</si>
  <si>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</si>
  <si>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</si>
  <si>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</si>
  <si>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</si>
  <si>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</si>
  <si>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</si>
  <si>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</si>
  <si>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</si>
  <si>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</si>
  <si>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</si>
  <si>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</si>
  <si>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</si>
  <si>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</si>
  <si>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</si>
  <si>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</si>
  <si>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</si>
  <si>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</si>
  <si>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</si>
  <si>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</si>
  <si>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</si>
  <si>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</si>
  <si>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</si>
  <si>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</si>
  <si>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</si>
  <si>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</si>
  <si>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</si>
  <si>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</si>
  <si>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</si>
  <si>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</si>
  <si>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</si>
  <si>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</si>
  <si>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</si>
  <si>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</si>
  <si>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</si>
  <si>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</si>
  <si>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</si>
  <si>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</si>
  <si>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</si>
  <si>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</si>
  <si>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</si>
  <si>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</si>
  <si>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</si>
  <si>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</si>
  <si>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</si>
  <si>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</si>
  <si>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</si>
  <si>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</si>
  <si>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</si>
  <si>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</si>
  <si>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</si>
  <si>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</si>
  <si>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</si>
  <si>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</si>
  <si>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</si>
  <si>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</si>
  <si>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</si>
  <si>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</si>
  <si>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</si>
  <si>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</si>
  <si>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</si>
  <si>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</si>
  <si>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</si>
  <si>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</si>
  <si>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</si>
  <si>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</si>
  <si>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</si>
  <si>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</si>
  <si>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</si>
  <si>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</si>
  <si>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</si>
  <si>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</si>
  <si>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</si>
  <si>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</si>
  <si>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</si>
  <si>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</si>
  <si>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</si>
  <si>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</si>
  <si>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</si>
  <si>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</si>
  <si>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</si>
  <si>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</si>
  <si>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</si>
  <si>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</si>
  <si>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</si>
  <si>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</si>
  <si>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</si>
  <si>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</si>
  <si>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</si>
  <si>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</si>
  <si>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</si>
  <si>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</si>
  <si>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</si>
  <si>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</si>
  <si>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</si>
  <si>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</si>
  <si>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</si>
  <si>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</si>
  <si>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</si>
  <si>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</si>
  <si>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</si>
  <si>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</si>
  <si>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</si>
  <si>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</si>
  <si>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</si>
  <si>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</si>
  <si>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</si>
  <si>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</si>
  <si>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</si>
  <si>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</si>
  <si>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</si>
  <si>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</si>
  <si>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</si>
  <si>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</si>
  <si>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</si>
  <si>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</si>
  <si>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</si>
  <si>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</si>
  <si>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</si>
  <si>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</si>
  <si>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</si>
  <si>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</si>
  <si>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</si>
  <si>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</si>
  <si>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</si>
  <si>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</si>
  <si>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</si>
  <si>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</si>
  <si>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</si>
  <si>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</si>
  <si>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</si>
  <si>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</si>
  <si>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</si>
  <si>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</si>
  <si>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</si>
  <si>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</si>
  <si>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</si>
  <si>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</si>
  <si>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</si>
  <si>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</si>
  <si>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</si>
  <si>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</si>
  <si>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</si>
  <si>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</si>
  <si>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</si>
  <si>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</si>
  <si>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</si>
  <si>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</si>
  <si>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</si>
  <si>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</si>
  <si>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</si>
  <si>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</si>
  <si>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</si>
  <si>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</si>
  <si>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</si>
  <si>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</si>
  <si>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</si>
  <si>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</si>
  <si>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</si>
  <si>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</si>
  <si>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</si>
  <si>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</si>
  <si>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</si>
  <si>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</si>
  <si>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</si>
  <si>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</si>
  <si>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</si>
  <si>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</si>
  <si>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</si>
  <si>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</si>
  <si>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</si>
  <si>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</si>
  <si>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</si>
  <si>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</si>
  <si>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</si>
  <si>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</si>
  <si>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</si>
  <si>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</si>
  <si>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</si>
  <si>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</si>
  <si>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</si>
  <si>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</si>
  <si>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</si>
  <si>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</si>
  <si>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</si>
  <si>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</si>
  <si>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</si>
  <si>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</si>
  <si>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</si>
  <si>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</si>
  <si>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</si>
  <si>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</si>
  <si>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</si>
  <si>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</si>
  <si>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</si>
  <si>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</si>
  <si>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</si>
  <si>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</si>
  <si>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</si>
  <si>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</si>
  <si>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</si>
  <si>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</si>
  <si>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</si>
  <si>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</si>
  <si>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</si>
  <si>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</si>
  <si>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</si>
  <si>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</si>
  <si>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</si>
  <si>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</si>
  <si>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</si>
  <si>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</si>
  <si>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</si>
  <si>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</si>
  <si>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</si>
  <si>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</si>
  <si>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</si>
  <si>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</si>
  <si>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</si>
  <si>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</si>
  <si>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</si>
  <si>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</si>
  <si>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</si>
  <si>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</si>
  <si>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</si>
  <si>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</si>
  <si>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</si>
  <si>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</si>
  <si>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</si>
  <si>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</si>
  <si>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</si>
  <si>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</si>
  <si>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</si>
  <si>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</si>
  <si>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</si>
  <si>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</si>
  <si>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</si>
  <si>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</si>
  <si>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</si>
  <si>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</si>
  <si>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</si>
  <si>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</si>
  <si>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</si>
  <si>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</si>
  <si>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</si>
  <si>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</si>
  <si>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</si>
  <si>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</si>
  <si>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</si>
  <si>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</si>
  <si>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</si>
  <si>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</si>
  <si>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</si>
  <si>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</si>
  <si>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</si>
  <si>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</si>
  <si>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</si>
  <si>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</si>
  <si>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</si>
  <si>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</si>
  <si>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</si>
  <si>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</si>
  <si>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</si>
  <si>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</si>
  <si>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</si>
  <si>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</si>
  <si>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</si>
  <si>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</si>
  <si>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</si>
  <si>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</si>
  <si>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</si>
  <si>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</si>
  <si>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</si>
  <si>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</si>
  <si>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</si>
  <si>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</si>
  <si>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</si>
  <si>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</si>
  <si>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</si>
  <si>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</si>
  <si>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</si>
  <si>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</si>
  <si>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</si>
  <si>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</si>
  <si>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</si>
  <si>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</si>
  <si>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</si>
  <si>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</si>
  <si>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</si>
  <si>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</si>
  <si>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</si>
  <si>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</si>
  <si>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</si>
  <si>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</si>
  <si>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</si>
  <si>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</si>
  <si>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</si>
  <si>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</si>
  <si>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</si>
  <si>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</si>
  <si>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</si>
  <si>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</si>
  <si>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</si>
  <si>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</si>
  <si>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</si>
  <si>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</si>
  <si>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</si>
  <si>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</si>
  <si>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</si>
  <si>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</si>
  <si>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</si>
  <si>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</si>
  <si>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</si>
  <si>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</si>
  <si>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</si>
  <si>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</si>
  <si>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</si>
  <si>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</si>
  <si>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</si>
  <si>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</si>
  <si>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</si>
  <si>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</si>
  <si>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</si>
  <si>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</si>
  <si>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</si>
  <si>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</si>
  <si>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</si>
  <si>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</si>
  <si>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</si>
  <si>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</si>
  <si>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</si>
  <si>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</si>
  <si>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</si>
  <si>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</si>
  <si>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</si>
  <si>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</si>
  <si>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</si>
  <si>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</si>
  <si>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</si>
  <si>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</si>
  <si>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</si>
  <si>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</si>
  <si>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</si>
  <si>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</si>
  <si>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</si>
  <si>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</si>
  <si>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</si>
  <si>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</si>
  <si>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</si>
  <si>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</si>
  <si>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</si>
  <si>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</si>
  <si>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</si>
  <si>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</si>
  <si>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</si>
  <si>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</si>
  <si>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</si>
  <si>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</si>
  <si>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</si>
  <si>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</si>
  <si>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</si>
  <si>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</si>
  <si>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</si>
  <si>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</si>
  <si>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</si>
  <si>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</si>
  <si>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</si>
  <si>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</si>
  <si>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</si>
  <si>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</si>
  <si>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</si>
  <si>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</si>
  <si>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</si>
  <si>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</si>
  <si>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</si>
  <si>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</si>
  <si>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</si>
  <si>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</si>
  <si>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</si>
  <si>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</si>
  <si>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</si>
  <si>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</si>
  <si>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</si>
  <si>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</si>
  <si>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</si>
  <si>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</si>
  <si>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</si>
  <si>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</si>
  <si>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</si>
  <si>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</si>
  <si>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</si>
  <si>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</si>
  <si>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</si>
  <si>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</si>
  <si>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</si>
  <si>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</si>
  <si>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</si>
  <si>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</si>
  <si>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</si>
  <si>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</si>
  <si>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</si>
  <si>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</si>
  <si>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</si>
  <si>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</si>
  <si>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</si>
  <si>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</si>
  <si>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</si>
  <si>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</si>
  <si>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</si>
  <si>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</si>
  <si>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</si>
  <si>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</si>
  <si>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</si>
  <si>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</si>
  <si>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</si>
  <si>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</si>
  <si>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</si>
  <si>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</si>
  <si>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</si>
  <si>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</si>
  <si>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</si>
  <si>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</si>
  <si>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</si>
  <si>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</si>
  <si>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</si>
  <si>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</si>
  <si>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</si>
  <si>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</si>
  <si>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</si>
  <si>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</si>
  <si>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</si>
  <si>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</si>
  <si>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</si>
  <si>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</si>
  <si>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</si>
  <si>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</si>
  <si>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</si>
  <si>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</si>
  <si>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</si>
  <si>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</si>
  <si>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</si>
  <si>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</si>
  <si>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</si>
  <si>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</si>
  <si>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</si>
  <si>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</si>
  <si>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</si>
  <si>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生产车间用房</t>
    </r>
    <r>
      <rPr>
        <sz val="10"/>
        <color theme="9" tint="-0.249977111117893"/>
        <rFont val="Arial"/>
        <family val="2"/>
      </rPr>
      <t/>
    </r>
    <phoneticPr fontId="6" type="noConversion"/>
  </si>
  <si>
    <t>工业项目</t>
  </si>
  <si>
    <t>无</t>
  </si>
  <si>
    <t>否</t>
  </si>
  <si>
    <t>现房</t>
  </si>
  <si>
    <t>是</t>
  </si>
  <si>
    <t>地上</t>
  </si>
  <si>
    <t>工业</t>
    <phoneticPr fontId="7" type="noConversion"/>
  </si>
  <si>
    <t>成新度</t>
  </si>
  <si>
    <t>长子营镇</t>
    <phoneticPr fontId="3" type="noConversion"/>
  </si>
  <si>
    <t>收益法 (元)</t>
  </si>
  <si>
    <t>押一</t>
  </si>
  <si>
    <t>钢混</t>
  </si>
  <si>
    <t>非生产用房</t>
  </si>
  <si>
    <t>比较法-工业</t>
  </si>
  <si>
    <t>楼面单价</t>
  </si>
  <si>
    <t>收益比率</t>
  </si>
  <si>
    <t>单套模式</t>
  </si>
  <si>
    <t>售价</t>
  </si>
  <si>
    <t>红金龙国际企业港</t>
    <phoneticPr fontId="3" type="noConversion"/>
  </si>
  <si>
    <t>联东U谷中区</t>
    <phoneticPr fontId="3" type="noConversion"/>
  </si>
  <si>
    <t>联东U谷西区</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</si>
  <si>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</si>
  <si>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</si>
  <si>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</si>
  <si>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</si>
  <si>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</si>
  <si>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</si>
  <si>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</si>
  <si>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单套</t>
    <phoneticPr fontId="3" type="noConversion"/>
  </si>
  <si>
    <t>整栋</t>
    <phoneticPr fontId="3" type="noConversion"/>
  </si>
  <si>
    <t>销售类型</t>
    <phoneticPr fontId="31" type="noConversion"/>
  </si>
  <si>
    <t>报价</t>
  </si>
  <si>
    <t>报价</t>
    <phoneticPr fontId="31" type="noConversion"/>
  </si>
  <si>
    <t>单套</t>
    <phoneticPr fontId="31" type="noConversion"/>
  </si>
  <si>
    <t>整栋</t>
    <phoneticPr fontId="31" type="noConversion"/>
  </si>
  <si>
    <t>较好</t>
  </si>
  <si>
    <t>好</t>
  </si>
  <si>
    <t>一般</t>
  </si>
  <si>
    <t>较差</t>
  </si>
  <si>
    <t>七通</t>
  </si>
  <si>
    <t>工业立项办公楼</t>
  </si>
  <si>
    <t>工业立项办公楼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</si>
  <si>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</si>
  <si>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</si>
  <si>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</si>
  <si>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</si>
  <si>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</si>
  <si>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专业</t>
  </si>
  <si>
    <t>专业</t>
    <phoneticPr fontId="31" type="noConversion"/>
  </si>
  <si>
    <t>普通</t>
    <phoneticPr fontId="31" type="noConversion"/>
  </si>
  <si>
    <t>七通</t>
    <phoneticPr fontId="31" type="noConversion"/>
  </si>
  <si>
    <t>六通</t>
    <phoneticPr fontId="31" type="noConversion"/>
  </si>
  <si>
    <t>五通</t>
  </si>
  <si>
    <t>五通</t>
    <phoneticPr fontId="31" type="noConversion"/>
  </si>
  <si>
    <t>精装修</t>
  </si>
  <si>
    <t>普通装修</t>
  </si>
  <si>
    <t>超高层高</t>
    <phoneticPr fontId="31" type="noConversion"/>
  </si>
  <si>
    <t>标准层高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</si>
</sst>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0" fontId="47" fillId="12" borderId="0" xfId="0"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0" fillId="0" borderId="5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27</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4780953"/>
        </a:xfrm>
        <a:prstGeom prst="rect">
          <a:avLst/>
        </a:prstGeom>
      </xdr:spPr>
    </xdr:pic>
    <xdr:clientData/>
  </xdr:twoCellAnchor>
  <xdr:twoCellAnchor editAs="oneCell">
    <xdr:from>
      <xdr:col>9</xdr:col>
      <xdr:colOff>0</xdr:colOff>
      <xdr:row>0</xdr:row>
      <xdr:rowOff>0</xdr:rowOff>
    </xdr:from>
    <xdr:to>
      <xdr:col>18</xdr:col>
      <xdr:colOff>8753</xdr:colOff>
      <xdr:row>27</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6180953" cy="4742857"/>
        </a:xfrm>
        <a:prstGeom prst="rect">
          <a:avLst/>
        </a:prstGeom>
      </xdr:spPr>
    </xdr:pic>
    <xdr:clientData/>
  </xdr:twoCellAnchor>
  <xdr:twoCellAnchor editAs="oneCell">
    <xdr:from>
      <xdr:col>9</xdr:col>
      <xdr:colOff>0</xdr:colOff>
      <xdr:row>28</xdr:row>
      <xdr:rowOff>0</xdr:rowOff>
    </xdr:from>
    <xdr:to>
      <xdr:col>18</xdr:col>
      <xdr:colOff>27800</xdr:colOff>
      <xdr:row>61</xdr:row>
      <xdr:rowOff>132627</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4800600"/>
          <a:ext cx="6200000" cy="5790477"/>
        </a:xfrm>
        <a:prstGeom prst="rect">
          <a:avLst/>
        </a:prstGeom>
      </xdr:spPr>
    </xdr:pic>
    <xdr:clientData/>
  </xdr:twoCellAnchor>
  <xdr:twoCellAnchor editAs="oneCell">
    <xdr:from>
      <xdr:col>0</xdr:col>
      <xdr:colOff>0</xdr:colOff>
      <xdr:row>29</xdr:row>
      <xdr:rowOff>0</xdr:rowOff>
    </xdr:from>
    <xdr:to>
      <xdr:col>10</xdr:col>
      <xdr:colOff>305511</xdr:colOff>
      <xdr:row>47</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7163511" cy="3124200"/>
        </a:xfrm>
        <a:prstGeom prst="rect">
          <a:avLst/>
        </a:prstGeom>
      </xdr:spPr>
    </xdr:pic>
    <xdr:clientData/>
  </xdr:twoCellAnchor>
  <xdr:twoCellAnchor editAs="oneCell">
    <xdr:from>
      <xdr:col>0</xdr:col>
      <xdr:colOff>1</xdr:colOff>
      <xdr:row>48</xdr:row>
      <xdr:rowOff>0</xdr:rowOff>
    </xdr:from>
    <xdr:to>
      <xdr:col>10</xdr:col>
      <xdr:colOff>114301</xdr:colOff>
      <xdr:row>66</xdr:row>
      <xdr:rowOff>54365</xdr:rowOff>
    </xdr:to>
    <xdr:pic>
      <xdr:nvPicPr>
        <xdr:cNvPr id="6" name="图片 5"/>
        <xdr:cNvPicPr>
          <a:picLocks noChangeAspect="1"/>
        </xdr:cNvPicPr>
      </xdr:nvPicPr>
      <xdr:blipFill>
        <a:blip xmlns:r="http://schemas.openxmlformats.org/officeDocument/2006/relationships" r:embed="rId5"/>
        <a:stretch>
          <a:fillRect/>
        </a:stretch>
      </xdr:blipFill>
      <xdr:spPr>
        <a:xfrm>
          <a:off x="1" y="8229600"/>
          <a:ext cx="6972300" cy="3140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571500</xdr:colOff>
      <xdr:row>25</xdr:row>
      <xdr:rowOff>35865</xdr:rowOff>
    </xdr:to>
    <xdr:pic>
      <xdr:nvPicPr>
        <xdr:cNvPr id="2" name="图片 1">
          <a:extLst>
            <a:ext uri="{FF2B5EF4-FFF2-40B4-BE49-F238E27FC236}">
              <a16:creationId xmlns:a16="http://schemas.microsoft.com/office/drawing/2014/main" xmlns="" id="{00000000-0008-0000-1900-000015000000}"/>
            </a:ext>
          </a:extLst>
        </xdr:cNvPr>
        <xdr:cNvPicPr>
          <a:picLocks noChangeAspect="1"/>
        </xdr:cNvPicPr>
      </xdr:nvPicPr>
      <xdr:blipFill>
        <a:blip xmlns:r="http://schemas.openxmlformats.org/officeDocument/2006/relationships" r:embed="rId1"/>
        <a:stretch>
          <a:fillRect/>
        </a:stretch>
      </xdr:blipFill>
      <xdr:spPr>
        <a:xfrm>
          <a:off x="0" y="0"/>
          <a:ext cx="4686300" cy="4322115"/>
        </a:xfrm>
        <a:prstGeom prst="rect">
          <a:avLst/>
        </a:prstGeom>
      </xdr:spPr>
    </xdr:pic>
    <xdr:clientData/>
  </xdr:twoCellAnchor>
  <xdr:twoCellAnchor editAs="oneCell">
    <xdr:from>
      <xdr:col>7</xdr:col>
      <xdr:colOff>0</xdr:colOff>
      <xdr:row>0</xdr:row>
      <xdr:rowOff>1</xdr:rowOff>
    </xdr:from>
    <xdr:to>
      <xdr:col>12</xdr:col>
      <xdr:colOff>613586</xdr:colOff>
      <xdr:row>17</xdr:row>
      <xdr:rowOff>95251</xdr:rowOff>
    </xdr:to>
    <xdr:pic>
      <xdr:nvPicPr>
        <xdr:cNvPr id="3" name="图片 2">
          <a:extLst>
            <a:ext uri="{FF2B5EF4-FFF2-40B4-BE49-F238E27FC236}">
              <a16:creationId xmlns:a16="http://schemas.microsoft.com/office/drawing/2014/main" xmlns="" id="{00000000-0008-0000-1900-000016000000}"/>
            </a:ext>
          </a:extLst>
        </xdr:cNvPr>
        <xdr:cNvPicPr>
          <a:picLocks noChangeAspect="1"/>
        </xdr:cNvPicPr>
      </xdr:nvPicPr>
      <xdr:blipFill>
        <a:blip xmlns:r="http://schemas.openxmlformats.org/officeDocument/2006/relationships" r:embed="rId2"/>
        <a:stretch>
          <a:fillRect/>
        </a:stretch>
      </xdr:blipFill>
      <xdr:spPr>
        <a:xfrm>
          <a:off x="4800600" y="1"/>
          <a:ext cx="4042586" cy="3009900"/>
        </a:xfrm>
        <a:prstGeom prst="rect">
          <a:avLst/>
        </a:prstGeom>
      </xdr:spPr>
    </xdr:pic>
    <xdr:clientData/>
  </xdr:twoCellAnchor>
  <xdr:twoCellAnchor editAs="oneCell">
    <xdr:from>
      <xdr:col>0</xdr:col>
      <xdr:colOff>0</xdr:colOff>
      <xdr:row>27</xdr:row>
      <xdr:rowOff>1</xdr:rowOff>
    </xdr:from>
    <xdr:to>
      <xdr:col>6</xdr:col>
      <xdr:colOff>314325</xdr:colOff>
      <xdr:row>51</xdr:row>
      <xdr:rowOff>64241</xdr:rowOff>
    </xdr:to>
    <xdr:pic>
      <xdr:nvPicPr>
        <xdr:cNvPr id="4" name="图片 3">
          <a:extLst>
            <a:ext uri="{FF2B5EF4-FFF2-40B4-BE49-F238E27FC236}">
              <a16:creationId xmlns:a16="http://schemas.microsoft.com/office/drawing/2014/main" xmlns="" id="{00000000-0008-0000-1900-000013000000}"/>
            </a:ext>
          </a:extLst>
        </xdr:cNvPr>
        <xdr:cNvPicPr>
          <a:picLocks noChangeAspect="1"/>
        </xdr:cNvPicPr>
      </xdr:nvPicPr>
      <xdr:blipFill>
        <a:blip xmlns:r="http://schemas.openxmlformats.org/officeDocument/2006/relationships" r:embed="rId3"/>
        <a:stretch>
          <a:fillRect/>
        </a:stretch>
      </xdr:blipFill>
      <xdr:spPr>
        <a:xfrm>
          <a:off x="0" y="4629151"/>
          <a:ext cx="4429125" cy="4179040"/>
        </a:xfrm>
        <a:prstGeom prst="rect">
          <a:avLst/>
        </a:prstGeom>
      </xdr:spPr>
    </xdr:pic>
    <xdr:clientData/>
  </xdr:twoCellAnchor>
  <xdr:twoCellAnchor editAs="oneCell">
    <xdr:from>
      <xdr:col>6</xdr:col>
      <xdr:colOff>273732</xdr:colOff>
      <xdr:row>27</xdr:row>
      <xdr:rowOff>28575</xdr:rowOff>
    </xdr:from>
    <xdr:to>
      <xdr:col>12</xdr:col>
      <xdr:colOff>495300</xdr:colOff>
      <xdr:row>51</xdr:row>
      <xdr:rowOff>5561</xdr:rowOff>
    </xdr:to>
    <xdr:pic>
      <xdr:nvPicPr>
        <xdr:cNvPr id="5" name="图片 4">
          <a:extLst>
            <a:ext uri="{FF2B5EF4-FFF2-40B4-BE49-F238E27FC236}">
              <a16:creationId xmlns:a16="http://schemas.microsoft.com/office/drawing/2014/main" xmlns="" id="{00000000-0008-0000-1900-000014000000}"/>
            </a:ext>
          </a:extLst>
        </xdr:cNvPr>
        <xdr:cNvPicPr>
          <a:picLocks noChangeAspect="1"/>
        </xdr:cNvPicPr>
      </xdr:nvPicPr>
      <xdr:blipFill>
        <a:blip xmlns:r="http://schemas.openxmlformats.org/officeDocument/2006/relationships" r:embed="rId4"/>
        <a:stretch>
          <a:fillRect/>
        </a:stretch>
      </xdr:blipFill>
      <xdr:spPr>
        <a:xfrm>
          <a:off x="4388532" y="4657725"/>
          <a:ext cx="4336368" cy="4091786"/>
        </a:xfrm>
        <a:prstGeom prst="rect">
          <a:avLst/>
        </a:prstGeom>
      </xdr:spPr>
    </xdr:pic>
    <xdr:clientData/>
  </xdr:twoCellAnchor>
  <xdr:twoCellAnchor editAs="oneCell">
    <xdr:from>
      <xdr:col>0</xdr:col>
      <xdr:colOff>0</xdr:colOff>
      <xdr:row>52</xdr:row>
      <xdr:rowOff>66675</xdr:rowOff>
    </xdr:from>
    <xdr:to>
      <xdr:col>12</xdr:col>
      <xdr:colOff>559023</xdr:colOff>
      <xdr:row>75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982075"/>
          <a:ext cx="8788623" cy="3905250"/>
        </a:xfrm>
        <a:prstGeom prst="rect">
          <a:avLst/>
        </a:prstGeom>
      </xdr:spPr>
    </xdr:pic>
    <xdr:clientData/>
  </xdr:twoCellAnchor>
  <xdr:twoCellAnchor editAs="oneCell">
    <xdr:from>
      <xdr:col>0</xdr:col>
      <xdr:colOff>0</xdr:colOff>
      <xdr:row>74</xdr:row>
      <xdr:rowOff>104774</xdr:rowOff>
    </xdr:from>
    <xdr:to>
      <xdr:col>8</xdr:col>
      <xdr:colOff>676156</xdr:colOff>
      <xdr:row>90</xdr:row>
      <xdr:rowOff>133349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792074"/>
          <a:ext cx="6162556" cy="2771775"/>
        </a:xfrm>
        <a:prstGeom prst="rect">
          <a:avLst/>
        </a:prstGeom>
      </xdr:spPr>
    </xdr:pic>
    <xdr:clientData/>
  </xdr:twoCellAnchor>
  <xdr:twoCellAnchor editAs="oneCell">
    <xdr:from>
      <xdr:col>9</xdr:col>
      <xdr:colOff>66471</xdr:colOff>
      <xdr:row>75</xdr:row>
      <xdr:rowOff>0</xdr:rowOff>
    </xdr:from>
    <xdr:to>
      <xdr:col>16</xdr:col>
      <xdr:colOff>475367</xdr:colOff>
      <xdr:row>91</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6238671" y="12858750"/>
          <a:ext cx="5209496" cy="2857500"/>
        </a:xfrm>
        <a:prstGeom prst="rect">
          <a:avLst/>
        </a:prstGeom>
      </xdr:spPr>
    </xdr:pic>
    <xdr:clientData/>
  </xdr:twoCellAnchor>
  <xdr:twoCellAnchor editAs="oneCell">
    <xdr:from>
      <xdr:col>0</xdr:col>
      <xdr:colOff>0</xdr:colOff>
      <xdr:row>94</xdr:row>
      <xdr:rowOff>28576</xdr:rowOff>
    </xdr:from>
    <xdr:to>
      <xdr:col>12</xdr:col>
      <xdr:colOff>62301</xdr:colOff>
      <xdr:row>117</xdr:row>
      <xdr:rowOff>9526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144876"/>
          <a:ext cx="8291901" cy="3924300"/>
        </a:xfrm>
        <a:prstGeom prst="rect">
          <a:avLst/>
        </a:prstGeom>
      </xdr:spPr>
    </xdr:pic>
    <xdr:clientData/>
  </xdr:twoCellAnchor>
  <xdr:twoCellAnchor editAs="oneCell">
    <xdr:from>
      <xdr:col>0</xdr:col>
      <xdr:colOff>9525</xdr:colOff>
      <xdr:row>117</xdr:row>
      <xdr:rowOff>19050</xdr:rowOff>
    </xdr:from>
    <xdr:to>
      <xdr:col>7</xdr:col>
      <xdr:colOff>412257</xdr:colOff>
      <xdr:row>132</xdr:row>
      <xdr:rowOff>99837</xdr:rowOff>
    </xdr:to>
    <xdr:pic>
      <xdr:nvPicPr>
        <xdr:cNvPr id="10" name="图片 9"/>
        <xdr:cNvPicPr>
          <a:picLocks noChangeAspect="1"/>
        </xdr:cNvPicPr>
      </xdr:nvPicPr>
      <xdr:blipFill>
        <a:blip xmlns:r="http://schemas.openxmlformats.org/officeDocument/2006/relationships" r:embed="rId9"/>
        <a:stretch>
          <a:fillRect/>
        </a:stretch>
      </xdr:blipFill>
      <xdr:spPr>
        <a:xfrm>
          <a:off x="9525" y="20078700"/>
          <a:ext cx="5203332" cy="2652537"/>
        </a:xfrm>
        <a:prstGeom prst="rect">
          <a:avLst/>
        </a:prstGeom>
      </xdr:spPr>
    </xdr:pic>
    <xdr:clientData/>
  </xdr:twoCellAnchor>
  <xdr:twoCellAnchor editAs="oneCell">
    <xdr:from>
      <xdr:col>0</xdr:col>
      <xdr:colOff>0</xdr:colOff>
      <xdr:row>134</xdr:row>
      <xdr:rowOff>0</xdr:rowOff>
    </xdr:from>
    <xdr:to>
      <xdr:col>11</xdr:col>
      <xdr:colOff>406288</xdr:colOff>
      <xdr:row>154</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2974300"/>
          <a:ext cx="7950088" cy="3571875"/>
        </a:xfrm>
        <a:prstGeom prst="rect">
          <a:avLst/>
        </a:prstGeom>
      </xdr:spPr>
    </xdr:pic>
    <xdr:clientData/>
  </xdr:twoCellAnchor>
  <xdr:twoCellAnchor editAs="oneCell">
    <xdr:from>
      <xdr:col>0</xdr:col>
      <xdr:colOff>0</xdr:colOff>
      <xdr:row>155</xdr:row>
      <xdr:rowOff>0</xdr:rowOff>
    </xdr:from>
    <xdr:to>
      <xdr:col>6</xdr:col>
      <xdr:colOff>472803</xdr:colOff>
      <xdr:row>170</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6574750"/>
          <a:ext cx="4587603" cy="2581275"/>
        </a:xfrm>
        <a:prstGeom prst="rect">
          <a:avLst/>
        </a:prstGeom>
      </xdr:spPr>
    </xdr:pic>
    <xdr:clientData/>
  </xdr:twoCellAnchor>
  <xdr:twoCellAnchor editAs="oneCell">
    <xdr:from>
      <xdr:col>6</xdr:col>
      <xdr:colOff>533400</xdr:colOff>
      <xdr:row>154</xdr:row>
      <xdr:rowOff>133350</xdr:rowOff>
    </xdr:from>
    <xdr:to>
      <xdr:col>12</xdr:col>
      <xdr:colOff>448703</xdr:colOff>
      <xdr:row>173</xdr:row>
      <xdr:rowOff>104775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648200" y="26536650"/>
          <a:ext cx="4030103" cy="322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19</xdr:row>
      <xdr:rowOff>132926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1142858" cy="3390476"/>
        </a:xfrm>
        <a:prstGeom prst="rect">
          <a:avLst/>
        </a:prstGeom>
      </xdr:spPr>
    </xdr:pic>
    <xdr:clientData/>
  </xdr:twoCellAnchor>
  <xdr:twoCellAnchor editAs="oneCell">
    <xdr:from>
      <xdr:col>0</xdr:col>
      <xdr:colOff>0</xdr:colOff>
      <xdr:row>20</xdr:row>
      <xdr:rowOff>0</xdr:rowOff>
    </xdr:from>
    <xdr:to>
      <xdr:col>15</xdr:col>
      <xdr:colOff>608239</xdr:colOff>
      <xdr:row>51</xdr:row>
      <xdr:rowOff>46955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3429000"/>
          <a:ext cx="10895239" cy="5361905"/>
        </a:xfrm>
        <a:prstGeom prst="rect">
          <a:avLst/>
        </a:prstGeom>
      </xdr:spPr>
    </xdr:pic>
    <xdr:clientData/>
  </xdr:twoCellAnchor>
  <xdr:twoCellAnchor editAs="oneCell">
    <xdr:from>
      <xdr:col>0</xdr:col>
      <xdr:colOff>0</xdr:colOff>
      <xdr:row>52</xdr:row>
      <xdr:rowOff>0</xdr:rowOff>
    </xdr:from>
    <xdr:to>
      <xdr:col>15</xdr:col>
      <xdr:colOff>570144</xdr:colOff>
      <xdr:row>62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10857144"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北京市大兴区马朱路长子营段16号院17号楼3层301生产车间用房房地产抵押价值预评估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受贵公司委托，我公司对北京市大兴区马朱路长子营段16号院17号楼3层301生产车间用房房地产抵押价值进行了预评估。</v>
      </c>
    </row>
    <row r="7" spans="1:2" s="1199" customFormat="1">
      <c r="A7" s="1197" t="s">
        <v>566</v>
      </c>
      <c r="B7" s="1198" t="str">
        <f>'预评函-1'!A7</f>
        <v>估价对象为北京市大兴区马朱路长子营段16号院17号楼3层301生产车间用房房地产，为所有。根据《国有土地使用证》[]，估价对象（分摊）出让国有建设用地使用权面积为0平方米，建筑面积为309.42平方米。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2025年8月19日（评估专业人员实地查勘之日）</v>
      </c>
    </row>
    <row r="13" spans="1:2" s="1199" customFormat="1">
      <c r="A13" s="1197" t="s">
        <v>529</v>
      </c>
      <c r="B13" s="1198" t="str">
        <f>'预评函-1'!A18</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260</v>
      </c>
    </row>
    <row r="21" spans="1:2" s="1199" customFormat="1">
      <c r="A21" s="1197" t="s">
        <v>537</v>
      </c>
      <c r="B21" s="1198">
        <f ca="1">'预评函-2'!D7</f>
        <v>8416</v>
      </c>
    </row>
    <row r="22" spans="1:2" s="1199" customFormat="1">
      <c r="A22" s="1197" t="s">
        <v>538</v>
      </c>
      <c r="B22" s="1198" t="str">
        <f ca="1">'预评函-2'!D6</f>
        <v>贰佰陆拾万元整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260</v>
      </c>
    </row>
    <row r="31" spans="1:2" s="1199" customFormat="1">
      <c r="A31" s="1197" t="s">
        <v>576</v>
      </c>
      <c r="B31" s="1198">
        <f ca="1">'预评函-2'!D15</f>
        <v>8416</v>
      </c>
    </row>
    <row r="32" spans="1:2" s="1199" customFormat="1">
      <c r="A32" s="1197" t="s">
        <v>543</v>
      </c>
      <c r="B32" s="1198" t="str">
        <f ca="1">'预评函-2'!D14</f>
        <v>贰佰陆拾万元整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北京市大兴区马朱路长子营段16号院17号楼3层301生产车间用房房地产</v>
      </c>
    </row>
    <row r="42" spans="1:2" s="1199" customFormat="1">
      <c r="A42" s="1197" t="s">
        <v>590</v>
      </c>
      <c r="B42" s="1198" t="str">
        <f>'预评函-3'!B2</f>
        <v>建筑面积</v>
      </c>
    </row>
    <row r="43" spans="1:2" s="1199" customFormat="1">
      <c r="A43" s="1197" t="s">
        <v>591</v>
      </c>
      <c r="B43" s="1198">
        <f>'预评函-3'!B4</f>
        <v>309.42</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-42</v>
      </c>
    </row>
    <row r="48" spans="1:2" s="1199" customFormat="1">
      <c r="A48" s="1197" t="s">
        <v>549</v>
      </c>
      <c r="B48" s="1198">
        <f ca="1">'预评函-3'!E4</f>
        <v>-1347</v>
      </c>
    </row>
    <row r="49" spans="1:2" s="1199" customFormat="1">
      <c r="A49" s="1197" t="s">
        <v>550</v>
      </c>
      <c r="B49" s="1198" t="e">
        <f ca="1">'预评函-3'!D5</f>
        <v>#NUM!</v>
      </c>
    </row>
    <row r="50" spans="1:2" s="1199" customFormat="1">
      <c r="A50" s="1197" t="s">
        <v>574</v>
      </c>
      <c r="B50" s="1198" t="str">
        <f>'预评函-3'!F2</f>
        <v>在建建筑物价值</v>
      </c>
    </row>
    <row r="51" spans="1:2" s="1199" customFormat="1">
      <c r="A51" s="1197" t="s">
        <v>551</v>
      </c>
      <c r="B51" s="1198">
        <f ca="1">'预评函-3'!F4</f>
        <v>302</v>
      </c>
    </row>
    <row r="52" spans="1:2" s="1199" customFormat="1">
      <c r="A52" s="1197" t="s">
        <v>552</v>
      </c>
      <c r="B52" s="1198">
        <f ca="1">'预评函-3'!G4</f>
        <v>9763</v>
      </c>
    </row>
    <row r="53" spans="1:2" s="1199" customFormat="1">
      <c r="A53" s="1197" t="s">
        <v>580</v>
      </c>
      <c r="B53" s="1198" t="str">
        <f ca="1">'预评函-3'!F5</f>
        <v>叁佰零贰万元整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3351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3407</v>
      </c>
      <c r="AA1" s="1538" t="s">
        <v>3406</v>
      </c>
      <c r="AB1" s="1538" t="s">
        <v>3</v>
      </c>
    </row>
    <row r="2" spans="1:28">
      <c r="A2" s="1542" t="s">
        <v>19</v>
      </c>
      <c r="B2" s="1542" t="s">
        <v>993</v>
      </c>
      <c r="C2" s="1543" t="s">
        <v>315</v>
      </c>
      <c r="D2" s="1544" t="s">
        <v>994</v>
      </c>
      <c r="E2" s="1544" t="s">
        <v>995</v>
      </c>
      <c r="F2" s="1544" t="s">
        <v>996</v>
      </c>
      <c r="G2" s="1544">
        <v>20</v>
      </c>
      <c r="H2" s="1544" t="s">
        <v>996</v>
      </c>
      <c r="I2" s="1544" t="s">
        <v>3337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2439</v>
      </c>
      <c r="Y2" s="1547" t="s">
        <v>3414</v>
      </c>
      <c r="Z2" s="1547" t="s">
        <v>2452</v>
      </c>
      <c r="AA2" s="1547" t="s">
        <v>3415</v>
      </c>
      <c r="AB2" s="1547" t="s">
        <v>2479</v>
      </c>
    </row>
    <row r="3" spans="1:28">
      <c r="A3" s="1542" t="s">
        <v>1001</v>
      </c>
      <c r="B3" s="1545" t="s">
        <v>448</v>
      </c>
      <c r="C3" s="1546" t="s">
        <v>316</v>
      </c>
      <c r="D3" s="1544" t="s">
        <v>1002</v>
      </c>
      <c r="E3" s="1544" t="s">
        <v>13</v>
      </c>
      <c r="F3" s="1544" t="s">
        <v>1003</v>
      </c>
      <c r="G3" s="1544">
        <v>40</v>
      </c>
      <c r="H3" s="1544" t="s">
        <v>1003</v>
      </c>
      <c r="I3" s="1544" t="s">
        <v>3338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2441</v>
      </c>
      <c r="Z3" s="1547" t="s">
        <v>2454</v>
      </c>
      <c r="AB3" s="1547" t="s">
        <v>2481</v>
      </c>
    </row>
    <row r="4" spans="1:28">
      <c r="A4" s="1542" t="s">
        <v>1008</v>
      </c>
      <c r="B4" s="1542" t="s">
        <v>1009</v>
      </c>
      <c r="C4" s="1543" t="s">
        <v>317</v>
      </c>
      <c r="D4" s="1544" t="s">
        <v>389</v>
      </c>
      <c r="E4" s="1544" t="s">
        <v>1010</v>
      </c>
      <c r="F4" s="1544" t="s">
        <v>1011</v>
      </c>
      <c r="G4" s="1544">
        <v>50</v>
      </c>
      <c r="H4" s="1544" t="s">
        <v>1011</v>
      </c>
      <c r="I4" s="1544" t="s">
        <v>3339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2443</v>
      </c>
      <c r="Z4" s="1547" t="s">
        <v>2456</v>
      </c>
      <c r="AB4" s="1547" t="s">
        <v>2483</v>
      </c>
    </row>
    <row r="5" spans="1:28">
      <c r="A5" s="1542" t="s">
        <v>1014</v>
      </c>
      <c r="B5" s="1542" t="s">
        <v>1015</v>
      </c>
      <c r="C5" s="1543" t="s">
        <v>318</v>
      </c>
      <c r="F5" s="1544" t="s">
        <v>1016</v>
      </c>
      <c r="G5" s="1544">
        <v>70</v>
      </c>
      <c r="H5" s="1544" t="s">
        <v>1017</v>
      </c>
      <c r="I5" s="1544" t="s">
        <v>3340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2445</v>
      </c>
      <c r="Z5" s="1547" t="s">
        <v>2458</v>
      </c>
      <c r="AB5" s="1547" t="s">
        <v>3416</v>
      </c>
    </row>
    <row r="6" spans="1:28">
      <c r="A6" s="1542" t="s">
        <v>1020</v>
      </c>
      <c r="B6" s="1545" t="s">
        <v>449</v>
      </c>
      <c r="C6" s="1548" t="s">
        <v>24</v>
      </c>
      <c r="F6" s="1544" t="s">
        <v>1017</v>
      </c>
      <c r="H6" s="1544" t="s">
        <v>1021</v>
      </c>
      <c r="I6" s="1544" t="s">
        <v>3341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2447</v>
      </c>
      <c r="Z6" s="1547" t="s">
        <v>2460</v>
      </c>
      <c r="AB6" s="1547" t="s">
        <v>2486</v>
      </c>
    </row>
    <row r="7" spans="1:28">
      <c r="A7" s="1542" t="s">
        <v>1023</v>
      </c>
      <c r="B7" s="1545" t="s">
        <v>450</v>
      </c>
      <c r="C7" s="1543" t="s">
        <v>25</v>
      </c>
      <c r="F7" s="1544" t="s">
        <v>1024</v>
      </c>
      <c r="H7" s="1544" t="s">
        <v>1025</v>
      </c>
      <c r="I7" s="1544" t="s">
        <v>3342</v>
      </c>
      <c r="X7" s="1547" t="s">
        <v>2449</v>
      </c>
      <c r="Z7" s="1547" t="s">
        <v>2462</v>
      </c>
      <c r="AB7" s="1547" t="s">
        <v>2488</v>
      </c>
    </row>
    <row r="8" spans="1:28">
      <c r="A8" s="1542" t="s">
        <v>1026</v>
      </c>
      <c r="B8" s="1542" t="s">
        <v>1027</v>
      </c>
      <c r="C8" s="1543" t="s">
        <v>319</v>
      </c>
      <c r="F8" s="1544" t="s">
        <v>1028</v>
      </c>
      <c r="H8" s="1544" t="s">
        <v>2577</v>
      </c>
      <c r="I8" s="1544" t="s">
        <v>3343</v>
      </c>
      <c r="X8" s="1547" t="s">
        <v>3417</v>
      </c>
      <c r="Z8" s="1547" t="s">
        <v>2464</v>
      </c>
      <c r="AB8" s="1547" t="s">
        <v>2490</v>
      </c>
    </row>
    <row r="9" spans="1:28">
      <c r="A9" s="1542" t="s">
        <v>1029</v>
      </c>
      <c r="B9" s="1542" t="s">
        <v>1030</v>
      </c>
      <c r="C9" s="1543" t="s">
        <v>320</v>
      </c>
      <c r="F9" s="1544" t="s">
        <v>1031</v>
      </c>
      <c r="H9" s="1544"/>
      <c r="I9" s="1547" t="s">
        <v>3344</v>
      </c>
      <c r="X9" s="1547" t="s">
        <v>3418</v>
      </c>
      <c r="Z9" s="1547" t="s">
        <v>2466</v>
      </c>
      <c r="AB9" s="1547" t="s">
        <v>2492</v>
      </c>
    </row>
    <row r="10" spans="1:28">
      <c r="A10" s="1542" t="s">
        <v>1032</v>
      </c>
      <c r="B10" s="1542" t="s">
        <v>1033</v>
      </c>
      <c r="C10" s="1543" t="s">
        <v>321</v>
      </c>
      <c r="F10" s="1544" t="s">
        <v>2578</v>
      </c>
      <c r="I10" s="1547" t="s">
        <v>3345</v>
      </c>
      <c r="Z10" s="1547" t="s">
        <v>2468</v>
      </c>
      <c r="AB10" s="1547" t="s">
        <v>2494</v>
      </c>
    </row>
    <row r="11" spans="1:28">
      <c r="A11" s="1542" t="s">
        <v>1034</v>
      </c>
      <c r="B11" s="1542" t="s">
        <v>1035</v>
      </c>
      <c r="C11" s="1543" t="s">
        <v>322</v>
      </c>
      <c r="F11" s="1544" t="s">
        <v>13</v>
      </c>
      <c r="I11" s="1547" t="s">
        <v>3346</v>
      </c>
      <c r="Z11" s="1547" t="s">
        <v>2470</v>
      </c>
      <c r="AB11" s="1547" t="s">
        <v>2496</v>
      </c>
    </row>
    <row r="12" spans="1:28">
      <c r="A12" s="1542" t="s">
        <v>1036</v>
      </c>
      <c r="B12" s="1542" t="s">
        <v>1037</v>
      </c>
      <c r="C12" s="1543" t="s">
        <v>323</v>
      </c>
      <c r="I12" s="1547" t="s">
        <v>3347</v>
      </c>
      <c r="Z12" s="1547" t="s">
        <v>2472</v>
      </c>
      <c r="AB12" s="1547" t="s">
        <v>2498</v>
      </c>
    </row>
    <row r="13" spans="1:28">
      <c r="A13" s="1542" t="s">
        <v>1038</v>
      </c>
      <c r="B13" s="1542" t="s">
        <v>1039</v>
      </c>
      <c r="C13" s="1543" t="s">
        <v>324</v>
      </c>
      <c r="I13" s="1547" t="s">
        <v>3348</v>
      </c>
      <c r="Z13" s="1547" t="s">
        <v>2474</v>
      </c>
    </row>
    <row r="14" spans="1:28">
      <c r="A14" s="1542" t="s">
        <v>1040</v>
      </c>
      <c r="B14" s="1542" t="s">
        <v>1041</v>
      </c>
      <c r="C14" s="1544" t="s">
        <v>13</v>
      </c>
      <c r="I14" s="1547" t="s">
        <v>3349</v>
      </c>
      <c r="Z14" s="1547" t="s">
        <v>2476</v>
      </c>
    </row>
    <row r="15" spans="1:28">
      <c r="A15" s="1542" t="s">
        <v>1042</v>
      </c>
      <c r="B15" s="1542" t="s">
        <v>1043</v>
      </c>
      <c r="C15" s="1543"/>
      <c r="I15" s="1547" t="s">
        <v>3350</v>
      </c>
    </row>
    <row r="16" spans="1:28">
      <c r="A16" s="1542" t="s">
        <v>1044</v>
      </c>
      <c r="B16" s="1542" t="s">
        <v>312</v>
      </c>
      <c r="C16" s="1543"/>
    </row>
    <row r="17" spans="1:3">
      <c r="A17" s="1542" t="s">
        <v>1045</v>
      </c>
      <c r="B17" s="1542" t="s">
        <v>2293</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0" t="s">
        <v>385</v>
      </c>
      <c r="C54" s="1547" t="s">
        <v>583</v>
      </c>
    </row>
    <row r="55" spans="1:4">
      <c r="A55" s="3539"/>
      <c r="B55" s="1550" t="s">
        <v>386</v>
      </c>
      <c r="C55" s="1547" t="s">
        <v>584</v>
      </c>
    </row>
    <row r="56" spans="1:4">
      <c r="A56" s="3539"/>
      <c r="B56" s="1550" t="s">
        <v>387</v>
      </c>
      <c r="C56" s="1547" t="s">
        <v>588</v>
      </c>
    </row>
    <row r="57" spans="1:4">
      <c r="A57" s="353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40" t="s">
        <v>2580</v>
      </c>
      <c r="J2" s="3540"/>
      <c r="K2" s="3540"/>
      <c r="L2" s="3540"/>
      <c r="M2" s="3540"/>
      <c r="N2" s="3540"/>
      <c r="O2" s="3540"/>
      <c r="P2" s="3540"/>
      <c r="Q2" s="3540"/>
      <c r="R2" s="3540"/>
    </row>
    <row r="3" spans="1:18">
      <c r="A3" s="3016" t="s">
        <v>2501</v>
      </c>
      <c r="B3" s="3017">
        <f>项目基本情况!D3</f>
        <v>45888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1.33</v>
      </c>
      <c r="D5" s="3021">
        <f>IF(ISERROR(ROUND(POWER(1+E5,A5-C5)*(POWER(1+E5,C5)-1)/(POWER(1+E5,A5)-1),3)),0,ROUND(POWER(1+E5,A5-C5)*(POWER(1+E5,C5)-1)/(POWER(1+E5,A5)-1),4))</f>
        <v>6.4199999999999993E-2</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11.34</v>
      </c>
      <c r="D6" s="3021">
        <f>IF(ISERROR(ROUND(POWER(1+E6,A6-C6)*(POWER(1+E6,C6)-1)/(POWER(1+E6,A6)-1),3)),0,ROUND(POWER(1+E6,A6-C6)*(POWER(1+E6,C6)-1)/(POWER(1+E6,A6)-1),4))</f>
        <v>0.4178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31.35</v>
      </c>
      <c r="D7" s="3021">
        <f>IF(ISERROR(ROUND(POWER(1+E7,A7-C7)*(POWER(1+E7,C7)-1)/(POWER(1+E7,A7)-1),3)),0,ROUND(POWER(1+E7,A7-C7)*(POWER(1+E7,C7)-1)/(POWER(1+E7,A7)-1),4))</f>
        <v>0.75609999999999999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4">
      <c r="A17" s="3016" t="s">
        <v>2517</v>
      </c>
      <c r="B17" s="3025">
        <v>4810</v>
      </c>
      <c r="C17" s="3018"/>
      <c r="D17" s="3014"/>
      <c r="E17" s="3014"/>
      <c r="F17" s="3015"/>
    </row>
    <row r="18" spans="1:14" ht="14.25" thickBot="1">
      <c r="A18" s="3027" t="s">
        <v>2516</v>
      </c>
      <c r="B18" s="3028">
        <f>ROUND(B17*F11/F12,2)</f>
        <v>5541.87</v>
      </c>
      <c r="C18" s="3028">
        <f>ROUND(F11/F12,4)</f>
        <v>1.1521999999999999</v>
      </c>
      <c r="D18" s="3029"/>
      <c r="E18" s="3029"/>
      <c r="F18" s="3030"/>
    </row>
    <row r="19" spans="1:14" ht="14.25" thickBot="1"/>
    <row r="20" spans="1:14" s="3065" customFormat="1" ht="14.25" thickTop="1">
      <c r="A20" s="3062" t="s">
        <v>2519</v>
      </c>
      <c r="B20" s="3063"/>
      <c r="C20" s="3063"/>
      <c r="D20" s="3063"/>
      <c r="E20" s="3063"/>
      <c r="F20" s="3063"/>
      <c r="G20" s="3064"/>
      <c r="I20" s="3066" t="s">
        <v>2564</v>
      </c>
      <c r="J20" s="3066" t="s">
        <v>2569</v>
      </c>
      <c r="K20" s="3066"/>
      <c r="L20" s="3066"/>
      <c r="M20" s="3066"/>
    </row>
    <row r="21" spans="1:14">
      <c r="A21" s="3031"/>
      <c r="B21" s="3032" t="s">
        <v>2520</v>
      </c>
      <c r="C21" s="3032" t="s">
        <v>2521</v>
      </c>
      <c r="D21" s="3032" t="s">
        <v>2522</v>
      </c>
      <c r="E21" s="3032" t="s">
        <v>2523</v>
      </c>
      <c r="F21" s="3032" t="s">
        <v>2524</v>
      </c>
      <c r="G21" s="3033" t="s">
        <v>2525</v>
      </c>
      <c r="I21" s="3054">
        <v>5</v>
      </c>
      <c r="J21" s="3054">
        <v>54.2</v>
      </c>
    </row>
    <row r="22" spans="1:14">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N23" s="3453" t="s">
        <v>2568</v>
      </c>
    </row>
    <row r="24" spans="1:14">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N24" s="3453">
        <v>10</v>
      </c>
    </row>
    <row r="25" spans="1:14">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N25" s="3453">
        <v>8</v>
      </c>
    </row>
    <row r="26" spans="1:14">
      <c r="A26" s="3036"/>
      <c r="B26" s="3037"/>
      <c r="C26" s="3037"/>
      <c r="D26" s="3037"/>
      <c r="E26" s="3037"/>
      <c r="F26" s="3037"/>
      <c r="G26" s="3038"/>
      <c r="I26" s="3054">
        <v>30</v>
      </c>
      <c r="J26" s="3054">
        <v>90.5</v>
      </c>
      <c r="K26" s="3054">
        <f t="shared" si="2"/>
        <v>4.2000000000000028</v>
      </c>
      <c r="L26" s="3054" t="s">
        <v>2571</v>
      </c>
      <c r="N26" s="3453">
        <v>5</v>
      </c>
    </row>
    <row r="27" spans="1:14">
      <c r="A27" s="3036" t="s">
        <v>2530</v>
      </c>
      <c r="B27" s="3037"/>
      <c r="C27" s="3037"/>
      <c r="D27" s="3037"/>
      <c r="E27" s="3037"/>
      <c r="F27" s="3037"/>
      <c r="G27" s="3038"/>
      <c r="I27" s="3054">
        <v>35</v>
      </c>
      <c r="J27" s="3054">
        <v>93.8</v>
      </c>
      <c r="K27" s="3054">
        <f t="shared" si="2"/>
        <v>3.2999999999999972</v>
      </c>
      <c r="L27" s="3054" t="s">
        <v>2572</v>
      </c>
      <c r="N27" s="3453">
        <v>3</v>
      </c>
    </row>
    <row r="28" spans="1:14">
      <c r="A28" s="3036" t="s">
        <v>2531</v>
      </c>
      <c r="B28" s="3037"/>
      <c r="C28" s="3037"/>
      <c r="D28" s="3037"/>
      <c r="E28" s="3037"/>
      <c r="F28" s="3037"/>
      <c r="G28" s="3038"/>
      <c r="I28" s="3054">
        <v>40</v>
      </c>
      <c r="J28" s="3054">
        <v>96.4</v>
      </c>
      <c r="K28" s="3054">
        <f t="shared" si="2"/>
        <v>2.6000000000000085</v>
      </c>
      <c r="L28" s="3054" t="s">
        <v>2573</v>
      </c>
      <c r="N28" s="3453">
        <v>2</v>
      </c>
    </row>
    <row r="29" spans="1:14">
      <c r="A29" s="3036" t="s">
        <v>2532</v>
      </c>
      <c r="B29" s="3037"/>
      <c r="C29" s="3037"/>
      <c r="D29" s="3037"/>
      <c r="E29" s="3037"/>
      <c r="F29" s="3037"/>
      <c r="G29" s="3038"/>
      <c r="I29" s="3054">
        <v>45</v>
      </c>
      <c r="J29" s="3054">
        <v>98.4</v>
      </c>
      <c r="K29" s="3054">
        <f t="shared" si="2"/>
        <v>2</v>
      </c>
    </row>
    <row r="30" spans="1:14">
      <c r="A30" s="3036" t="s">
        <v>2533</v>
      </c>
      <c r="B30" s="3037"/>
      <c r="C30" s="3037"/>
      <c r="D30" s="3037"/>
      <c r="E30" s="3037"/>
      <c r="F30" s="3037"/>
      <c r="G30" s="3038"/>
      <c r="I30" s="3054">
        <v>50</v>
      </c>
      <c r="J30" s="3054">
        <v>100</v>
      </c>
      <c r="K30" s="3054">
        <f t="shared" si="2"/>
        <v>1.5999999999999943</v>
      </c>
    </row>
    <row r="31" spans="1:14">
      <c r="A31" s="3036" t="s">
        <v>2534</v>
      </c>
      <c r="B31" s="3037"/>
      <c r="C31" s="3037"/>
      <c r="D31" s="3037"/>
      <c r="E31" s="3037"/>
      <c r="F31" s="3037"/>
      <c r="G31" s="3038"/>
      <c r="I31" s="3054" t="s">
        <v>2565</v>
      </c>
    </row>
    <row r="32" spans="1:14">
      <c r="A32" s="3036" t="s">
        <v>2535</v>
      </c>
      <c r="B32" s="3037"/>
      <c r="C32" s="3037"/>
      <c r="D32" s="3037"/>
      <c r="E32" s="3037"/>
      <c r="F32" s="3037"/>
      <c r="G32" s="3038"/>
    </row>
    <row r="33" spans="1:14">
      <c r="A33" s="3036" t="s">
        <v>2536</v>
      </c>
      <c r="B33" s="3037"/>
      <c r="C33" s="3037"/>
      <c r="D33" s="3037"/>
      <c r="E33" s="3037"/>
      <c r="F33" s="3037"/>
      <c r="G33" s="3038"/>
      <c r="I33" s="3054" t="s">
        <v>2564</v>
      </c>
      <c r="J33" s="3054" t="s">
        <v>2574</v>
      </c>
    </row>
    <row r="34" spans="1:14">
      <c r="A34" s="3036" t="s">
        <v>2537</v>
      </c>
      <c r="B34" s="3037"/>
      <c r="C34" s="3037"/>
      <c r="D34" s="3037"/>
      <c r="E34" s="3037"/>
      <c r="F34" s="3037"/>
      <c r="G34" s="3038"/>
      <c r="I34" s="3054">
        <v>5</v>
      </c>
      <c r="J34" s="3054">
        <v>55.1</v>
      </c>
    </row>
    <row r="35" spans="1:14">
      <c r="A35" s="3036" t="s">
        <v>2538</v>
      </c>
      <c r="B35" s="3037"/>
      <c r="C35" s="3037"/>
      <c r="D35" s="3037"/>
      <c r="E35" s="3037"/>
      <c r="F35" s="3037"/>
      <c r="G35" s="3038"/>
      <c r="I35" s="3054">
        <v>10</v>
      </c>
      <c r="J35" s="3054">
        <v>67</v>
      </c>
      <c r="K35" s="3054">
        <f>J35-J34</f>
        <v>11.899999999999999</v>
      </c>
    </row>
    <row r="36" spans="1:14">
      <c r="A36" s="3036" t="s">
        <v>2539</v>
      </c>
      <c r="B36" s="3037"/>
      <c r="C36" s="3037"/>
      <c r="D36" s="3037"/>
      <c r="E36" s="3037"/>
      <c r="F36" s="3037"/>
      <c r="G36" s="3038"/>
      <c r="I36" s="3054">
        <v>15</v>
      </c>
      <c r="J36" s="3054">
        <v>76.3</v>
      </c>
      <c r="K36" s="3054">
        <f t="shared" ref="K36:K41" si="3">J36-J35</f>
        <v>9.2999999999999972</v>
      </c>
      <c r="L36" s="3054" t="s">
        <v>2567</v>
      </c>
      <c r="N36" s="3453" t="s">
        <v>2568</v>
      </c>
    </row>
    <row r="37" spans="1:14">
      <c r="A37" s="3036" t="s">
        <v>2540</v>
      </c>
      <c r="B37" s="3037"/>
      <c r="C37" s="3037"/>
      <c r="D37" s="3037"/>
      <c r="E37" s="3037"/>
      <c r="F37" s="3037"/>
      <c r="G37" s="3038"/>
      <c r="I37" s="3054">
        <v>20</v>
      </c>
      <c r="J37" s="3054">
        <v>83.6</v>
      </c>
      <c r="K37" s="3054">
        <f t="shared" si="3"/>
        <v>7.2999999999999972</v>
      </c>
      <c r="L37" s="3054" t="s">
        <v>2566</v>
      </c>
      <c r="N37" s="3453">
        <v>10</v>
      </c>
    </row>
    <row r="38" spans="1:14">
      <c r="A38" s="3036" t="s">
        <v>2541</v>
      </c>
      <c r="B38" s="3037"/>
      <c r="C38" s="3037"/>
      <c r="D38" s="3037"/>
      <c r="E38" s="3037"/>
      <c r="F38" s="3037"/>
      <c r="G38" s="3038"/>
      <c r="I38" s="3054">
        <v>25</v>
      </c>
      <c r="J38" s="3054">
        <v>89.3</v>
      </c>
      <c r="K38" s="3054">
        <f t="shared" si="3"/>
        <v>5.7000000000000028</v>
      </c>
      <c r="L38" s="3054" t="s">
        <v>2570</v>
      </c>
      <c r="N38" s="3453">
        <v>8</v>
      </c>
    </row>
    <row r="39" spans="1:14">
      <c r="A39" s="3036"/>
      <c r="B39" s="3037"/>
      <c r="C39" s="3037"/>
      <c r="D39" s="3037"/>
      <c r="E39" s="3037"/>
      <c r="F39" s="3037"/>
      <c r="G39" s="3038"/>
      <c r="I39" s="3054">
        <v>30</v>
      </c>
      <c r="J39" s="3054">
        <v>93.8</v>
      </c>
      <c r="K39" s="3054">
        <f t="shared" si="3"/>
        <v>4.5</v>
      </c>
      <c r="L39" s="3054" t="s">
        <v>2571</v>
      </c>
      <c r="N39" s="3453">
        <v>6</v>
      </c>
    </row>
    <row r="40" spans="1:14">
      <c r="A40" s="3039" t="s">
        <v>2542</v>
      </c>
      <c r="B40" s="3040"/>
      <c r="C40" s="3040"/>
      <c r="D40" s="3040"/>
      <c r="E40" s="3040"/>
      <c r="F40" s="3040"/>
      <c r="G40" s="3041"/>
      <c r="I40" s="3054">
        <v>35</v>
      </c>
      <c r="J40" s="3054">
        <v>97.2</v>
      </c>
      <c r="K40" s="3054">
        <f t="shared" si="3"/>
        <v>3.4000000000000057</v>
      </c>
      <c r="L40" s="3054" t="s">
        <v>2572</v>
      </c>
      <c r="N40" s="3453">
        <v>3</v>
      </c>
    </row>
    <row r="41" spans="1:14">
      <c r="A41" s="3042" t="s">
        <v>2543</v>
      </c>
      <c r="B41" s="3043" t="s">
        <v>2544</v>
      </c>
      <c r="C41" s="3044" t="s">
        <v>2545</v>
      </c>
      <c r="D41" s="3044" t="s">
        <v>2546</v>
      </c>
      <c r="E41" s="3045"/>
      <c r="F41" s="3046"/>
      <c r="G41" s="3047"/>
      <c r="I41" s="3054">
        <v>40</v>
      </c>
      <c r="J41" s="3054">
        <v>100</v>
      </c>
      <c r="K41" s="3054">
        <f t="shared" si="3"/>
        <v>2.7999999999999972</v>
      </c>
    </row>
    <row r="42" spans="1:14">
      <c r="A42" s="3042" t="s">
        <v>2547</v>
      </c>
      <c r="B42" s="3043" t="s">
        <v>2548</v>
      </c>
      <c r="C42" s="3044" t="s">
        <v>2549</v>
      </c>
      <c r="D42" s="3048" t="s">
        <v>2550</v>
      </c>
      <c r="E42" s="3040" t="s">
        <v>2551</v>
      </c>
      <c r="F42" s="3040"/>
      <c r="G42" s="3041"/>
    </row>
    <row r="43" spans="1:14">
      <c r="A43" s="3042" t="s">
        <v>2552</v>
      </c>
      <c r="B43" s="3043" t="s">
        <v>2553</v>
      </c>
      <c r="C43" s="3044" t="s">
        <v>2554</v>
      </c>
      <c r="D43" s="3044" t="s">
        <v>2555</v>
      </c>
      <c r="E43" s="3045" t="s">
        <v>2556</v>
      </c>
      <c r="F43" s="3046"/>
      <c r="G43" s="3047"/>
      <c r="I43" s="3054" t="s">
        <v>2564</v>
      </c>
      <c r="J43" s="3054" t="s">
        <v>2575</v>
      </c>
    </row>
    <row r="44" spans="1:14">
      <c r="A44" s="3042" t="s">
        <v>2557</v>
      </c>
      <c r="B44" s="3043" t="s">
        <v>2558</v>
      </c>
      <c r="C44" s="3044" t="s">
        <v>2559</v>
      </c>
      <c r="D44" s="3048">
        <v>0.5</v>
      </c>
      <c r="E44" s="3045" t="s">
        <v>2560</v>
      </c>
      <c r="F44" s="3046"/>
      <c r="G44" s="3047"/>
      <c r="I44" s="3054">
        <v>30</v>
      </c>
      <c r="J44" s="3054">
        <v>81.7</v>
      </c>
    </row>
    <row r="45" spans="1:14" ht="14.25" thickBot="1">
      <c r="A45" s="3049" t="s">
        <v>2561</v>
      </c>
      <c r="B45" s="3050" t="s">
        <v>2548</v>
      </c>
      <c r="C45" s="3051" t="s">
        <v>2548</v>
      </c>
      <c r="D45" s="3051" t="s">
        <v>2562</v>
      </c>
      <c r="E45" s="3052" t="s">
        <v>2563</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3387</v>
      </c>
    </row>
    <row r="50" spans="1:4">
      <c r="A50" s="3445" t="s">
        <v>3388</v>
      </c>
      <c r="B50" s="3445" t="s">
        <v>3389</v>
      </c>
      <c r="C50" s="3445" t="s">
        <v>3390</v>
      </c>
      <c r="D50" s="3445" t="s">
        <v>3391</v>
      </c>
    </row>
    <row r="51" spans="1:4">
      <c r="A51" s="3445" t="s">
        <v>3392</v>
      </c>
      <c r="B51" s="3018">
        <f>B52+B53</f>
        <v>15000</v>
      </c>
      <c r="C51" s="3446">
        <f>D51/B51</f>
        <v>2666.6666666666665</v>
      </c>
      <c r="D51" s="3018">
        <f>D52+D53</f>
        <v>40000000</v>
      </c>
    </row>
    <row r="52" spans="1:4">
      <c r="A52" s="3447" t="s">
        <v>3393</v>
      </c>
      <c r="B52" s="3448">
        <v>10000</v>
      </c>
      <c r="C52" s="3448">
        <v>1500</v>
      </c>
      <c r="D52" s="3449">
        <f>C52*B52</f>
        <v>15000000</v>
      </c>
    </row>
    <row r="53" spans="1:4">
      <c r="A53" s="3447" t="s">
        <v>3394</v>
      </c>
      <c r="B53" s="3448">
        <v>5000</v>
      </c>
      <c r="C53" s="3448">
        <v>5000</v>
      </c>
      <c r="D53" s="3449">
        <f>C53*B53</f>
        <v>25000000</v>
      </c>
    </row>
    <row r="54" spans="1:4">
      <c r="A54" s="3445" t="s">
        <v>3395</v>
      </c>
      <c r="B54" s="3018">
        <f>B51</f>
        <v>15000</v>
      </c>
      <c r="C54" s="3025">
        <v>700</v>
      </c>
      <c r="D54" s="3018">
        <f t="shared" ref="D54:D55" si="5">C54*B54</f>
        <v>10500000</v>
      </c>
    </row>
    <row r="55" spans="1:4">
      <c r="A55" s="3445" t="s">
        <v>3396</v>
      </c>
      <c r="B55" s="3018">
        <f>B51</f>
        <v>15000</v>
      </c>
      <c r="C55" s="3025">
        <v>1500</v>
      </c>
      <c r="D55" s="3018">
        <f t="shared" si="5"/>
        <v>22500000</v>
      </c>
    </row>
    <row r="56" spans="1:4">
      <c r="A56" s="3445" t="s">
        <v>3397</v>
      </c>
      <c r="B56" s="3018">
        <f>B51</f>
        <v>15000</v>
      </c>
      <c r="C56" s="3450">
        <f>C51+C54+C55</f>
        <v>4866.6666666666661</v>
      </c>
      <c r="D56" s="3018">
        <f>D51+D54+D55</f>
        <v>73000000</v>
      </c>
    </row>
    <row r="58" spans="1:4">
      <c r="A58" s="3445" t="s">
        <v>3398</v>
      </c>
      <c r="B58" s="3451">
        <v>0.05</v>
      </c>
      <c r="C58" s="3018">
        <f>C56*(1+B58)</f>
        <v>5110</v>
      </c>
      <c r="D58" s="3018">
        <f>D56*B58</f>
        <v>3650000</v>
      </c>
    </row>
    <row r="60" spans="1:4">
      <c r="A60" s="3445" t="s">
        <v>3399</v>
      </c>
      <c r="B60" s="3025">
        <v>3500</v>
      </c>
      <c r="C60" s="3025">
        <f>C53</f>
        <v>5000</v>
      </c>
      <c r="D60" s="3018">
        <f>C60*B60</f>
        <v>17500000</v>
      </c>
    </row>
    <row r="62" spans="1:4">
      <c r="A62" s="3445" t="s">
        <v>3400</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41" t="str">
        <f>IF(B10="北京市","北京市",C10)&amp;F10&amp;IF(结果表!G1="在建","出让国有建设用地使用权及在建建筑物",IF(结果表!G1="土地","出让国有建设用地使用权",))&amp;B9&amp;"预评估"</f>
        <v>北京市大兴区马朱路长子营段16号院17号楼3层301生产车间用房房地产抵押价值预评估</v>
      </c>
      <c r="C1" s="3542"/>
      <c r="D1" s="3542"/>
      <c r="E1" s="3542"/>
      <c r="F1" s="3542"/>
      <c r="G1" s="3542"/>
      <c r="H1" s="3542"/>
      <c r="I1" s="354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北京市大兴区马朱路长子营段16号院17号楼3层301生产车间用房房地产抵押价值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北京市大兴区马朱路长子营段16号院17号楼3层301生产车间用房房地产</v>
      </c>
      <c r="T2" s="1741"/>
      <c r="U2" s="1741"/>
      <c r="V2" s="1741"/>
      <c r="W2" s="1741"/>
      <c r="X2" s="1741"/>
      <c r="Y2" s="1741"/>
      <c r="Z2" s="1741"/>
      <c r="AA2" s="1741"/>
      <c r="AB2" s="1741"/>
    </row>
    <row r="3" spans="1:30">
      <c r="A3" s="299" t="s">
        <v>2170</v>
      </c>
      <c r="B3" s="2369">
        <v>45888</v>
      </c>
      <c r="C3" s="2370" t="s">
        <v>2171</v>
      </c>
      <c r="D3" s="2369">
        <f>B3</f>
        <v>45888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3419</v>
      </c>
      <c r="C8" s="2386"/>
      <c r="D8" s="3544" t="s">
        <v>2177</v>
      </c>
      <c r="E8" s="2387" t="s">
        <v>3420</v>
      </c>
      <c r="F8" s="2388"/>
      <c r="G8" s="2659"/>
      <c r="H8" s="2659"/>
      <c r="I8" s="2659"/>
      <c r="J8" s="2435"/>
      <c r="K8" s="2610"/>
      <c r="L8" s="2609"/>
      <c r="M8" s="2609"/>
      <c r="N8" s="2435"/>
      <c r="O8" s="2446"/>
      <c r="P8" s="2435"/>
      <c r="Q8" s="2435"/>
      <c r="R8" s="2435"/>
    </row>
    <row r="9" spans="1:30" ht="13.5" thickBot="1">
      <c r="A9" s="2389" t="s">
        <v>2178</v>
      </c>
      <c r="B9" s="2390" t="s">
        <v>3420</v>
      </c>
      <c r="C9" s="2391"/>
      <c r="D9" s="3545"/>
      <c r="E9" s="2390"/>
      <c r="F9" s="2392"/>
      <c r="G9" s="2661"/>
      <c r="H9" s="2661"/>
      <c r="I9" s="2661"/>
      <c r="J9" s="2435"/>
      <c r="K9" s="2612"/>
      <c r="L9" s="2609"/>
      <c r="M9" s="2609"/>
      <c r="N9" s="2435"/>
      <c r="O9" s="2446"/>
      <c r="P9" s="2435"/>
      <c r="Q9" s="2435"/>
      <c r="R9" s="2435"/>
    </row>
    <row r="10" spans="1:30" ht="13.5" thickTop="1">
      <c r="A10" s="2393" t="s">
        <v>2179</v>
      </c>
      <c r="B10" s="2394" t="s">
        <v>3421</v>
      </c>
      <c r="C10" s="2395"/>
      <c r="D10" s="2378"/>
      <c r="E10" s="2396" t="s">
        <v>2180</v>
      </c>
      <c r="F10" s="2662" t="s">
        <v>3423</v>
      </c>
      <c r="G10" s="2663"/>
      <c r="H10" s="2664"/>
      <c r="I10" s="2665"/>
      <c r="J10" s="2435"/>
      <c r="K10" s="2612"/>
      <c r="L10" s="2609"/>
      <c r="M10" s="2609"/>
      <c r="N10" s="2435"/>
      <c r="O10" s="2446"/>
      <c r="P10" s="2435"/>
      <c r="Q10" s="2435"/>
      <c r="R10" s="2435"/>
    </row>
    <row r="11" spans="1:30">
      <c r="A11" s="2397" t="s">
        <v>2181</v>
      </c>
      <c r="B11" s="2398" t="s">
        <v>3422</v>
      </c>
      <c r="C11" s="2399"/>
      <c r="D11" s="2400"/>
      <c r="E11" s="2366"/>
      <c r="F11" s="2366"/>
      <c r="G11" s="2366"/>
      <c r="H11" s="2366"/>
      <c r="I11" s="2366"/>
      <c r="J11" s="3057"/>
      <c r="K11" s="3056"/>
      <c r="L11" s="2609"/>
      <c r="M11" s="2609"/>
      <c r="N11" s="2435"/>
      <c r="O11" s="2446"/>
      <c r="P11" s="2435"/>
      <c r="Q11" s="2435"/>
      <c r="R11" s="2435"/>
    </row>
    <row r="12" spans="1:30">
      <c r="A12" s="2401" t="s">
        <v>2182</v>
      </c>
      <c r="B12" s="320" t="s">
        <v>2183</v>
      </c>
      <c r="C12" s="2402" t="s">
        <v>2184</v>
      </c>
      <c r="D12" s="2402" t="s">
        <v>2185</v>
      </c>
      <c r="E12" s="2402" t="s">
        <v>2186</v>
      </c>
      <c r="F12" s="2402" t="s">
        <v>2187</v>
      </c>
      <c r="G12" s="2402" t="s">
        <v>2188</v>
      </c>
      <c r="H12" s="2402" t="s">
        <v>2189</v>
      </c>
      <c r="I12" s="3055" t="s">
        <v>2576</v>
      </c>
      <c r="J12" s="3058"/>
      <c r="K12" s="2609"/>
      <c r="L12" s="2609"/>
      <c r="M12" s="2435"/>
      <c r="N12" s="2446"/>
      <c r="O12" s="2435"/>
      <c r="P12" s="2435"/>
      <c r="Q12" s="2435"/>
      <c r="AD12" s="1741"/>
    </row>
    <row r="13" spans="1:30">
      <c r="A13" s="3419" t="s">
        <v>3332</v>
      </c>
      <c r="B13" s="2403" t="s">
        <v>2190</v>
      </c>
      <c r="C13" s="852"/>
      <c r="D13" s="852"/>
      <c r="E13" s="852"/>
      <c r="F13" s="852"/>
      <c r="G13" s="852"/>
      <c r="H13" s="852">
        <v>55635</v>
      </c>
      <c r="I13" s="852"/>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17"/>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26.7</v>
      </c>
      <c r="I15" s="2406" t="str">
        <f>IF(A13="出让",IF(I13="","",ROUNDDOWN(MIN((I13-$D$3)/365,I14),2)),I14)</f>
        <v/>
      </c>
      <c r="J15" s="3060"/>
      <c r="K15" s="2447"/>
      <c r="L15" s="2447"/>
      <c r="M15" s="2505"/>
      <c r="N15" s="2447"/>
      <c r="O15" s="2505"/>
      <c r="P15" s="2435"/>
      <c r="Q15" s="2435"/>
      <c r="AD15" s="1741"/>
    </row>
    <row r="16" spans="1:30">
      <c r="A16" s="2396" t="s">
        <v>2193</v>
      </c>
      <c r="B16" s="3551"/>
      <c r="C16" s="3552"/>
      <c r="D16" s="3553"/>
      <c r="E16" s="2409" t="s">
        <v>2194</v>
      </c>
      <c r="F16" s="3554"/>
      <c r="G16" s="3555"/>
      <c r="H16" s="3555"/>
      <c r="I16" s="3556"/>
      <c r="J16" s="2435"/>
      <c r="K16" s="2613"/>
      <c r="L16" s="2447"/>
      <c r="M16" s="2447"/>
      <c r="N16" s="2505"/>
      <c r="O16" s="2447"/>
      <c r="P16" s="2505"/>
      <c r="Q16" s="2435"/>
      <c r="R16" s="2435"/>
    </row>
    <row r="17" spans="1:28">
      <c r="A17" s="310" t="s">
        <v>2195</v>
      </c>
      <c r="B17" s="299" t="s">
        <v>2196</v>
      </c>
      <c r="C17" s="8">
        <f>'数据-汇总表'!E3</f>
        <v>309.42</v>
      </c>
      <c r="D17" s="2318" t="s">
        <v>2197</v>
      </c>
      <c r="E17" s="3557" t="s">
        <v>2198</v>
      </c>
      <c r="F17" s="3558"/>
      <c r="G17" s="3558"/>
      <c r="H17" s="3558"/>
      <c r="I17" s="3559"/>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0</v>
      </c>
      <c r="D18" s="1088" t="s">
        <v>2201</v>
      </c>
      <c r="E18" s="3560" t="s">
        <v>2202</v>
      </c>
      <c r="F18" s="3561"/>
      <c r="G18" s="3561"/>
      <c r="H18" s="3561"/>
      <c r="I18" s="3562"/>
      <c r="J18" s="2435"/>
      <c r="K18" s="2614"/>
      <c r="L18" s="2447"/>
      <c r="M18" s="2447"/>
      <c r="N18" s="2505"/>
      <c r="O18" s="2447"/>
      <c r="P18" s="2505"/>
      <c r="Q18" s="2435"/>
      <c r="R18" s="2435"/>
      <c r="S18" s="2435"/>
      <c r="T18" s="2435"/>
      <c r="U18" s="2435"/>
      <c r="V18" s="2435"/>
    </row>
    <row r="19" spans="1:28" ht="37.5" thickTop="1" thickBot="1">
      <c r="A19" s="324" t="s">
        <v>1055</v>
      </c>
      <c r="B19" s="304"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47" t="s">
        <v>2206</v>
      </c>
      <c r="C20" s="3548"/>
      <c r="D20" s="3549" t="s">
        <v>2207</v>
      </c>
      <c r="E20" s="3550"/>
      <c r="F20" s="2643" t="s">
        <v>1056</v>
      </c>
      <c r="G20" s="2660"/>
      <c r="H20" s="2660"/>
      <c r="I20" s="2660"/>
      <c r="J20" s="2435"/>
      <c r="K20" s="3546"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4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4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4" t="s">
        <v>2214</v>
      </c>
      <c r="B27" s="317" t="s">
        <v>2215</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4"/>
      <c r="B28" s="299" t="s">
        <v>2216</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4"/>
      <c r="B29" s="299" t="s">
        <v>2217</v>
      </c>
      <c r="C29" s="2416" t="s">
        <v>3426</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5"/>
      <c r="B30" s="299" t="s">
        <v>2218</v>
      </c>
      <c r="C30" s="3566"/>
      <c r="D30" s="3567"/>
      <c r="E30" s="2660"/>
      <c r="F30" s="2660"/>
      <c r="G30" s="2660"/>
      <c r="H30" s="2660"/>
      <c r="I30" s="2660"/>
      <c r="J30" s="2435"/>
      <c r="K30" s="2612"/>
      <c r="L30" s="2609"/>
      <c r="M30" s="2609"/>
      <c r="N30" s="2435"/>
      <c r="O30" s="2446"/>
      <c r="P30" s="2435"/>
      <c r="Q30" s="2435"/>
      <c r="R30" s="2435"/>
      <c r="S30" s="2435"/>
      <c r="T30" s="2435"/>
      <c r="U30" s="2435"/>
      <c r="V30" s="2435"/>
    </row>
    <row r="31" spans="1:28">
      <c r="A31" s="3568" t="s">
        <v>2219</v>
      </c>
      <c r="B31" s="2418" t="s">
        <v>3427</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2220</v>
      </c>
      <c r="B34" s="2022"/>
      <c r="C34" s="2022"/>
      <c r="D34" s="2022"/>
      <c r="E34" s="2022"/>
      <c r="F34" s="2022"/>
      <c r="G34" s="2022"/>
      <c r="H34" s="2022"/>
      <c r="I34" s="2660"/>
      <c r="J34" s="2435"/>
      <c r="K34" s="2423">
        <f>COUNTIF(B34:H34,"——")</f>
        <v>0</v>
      </c>
      <c r="L34" s="320" t="s">
        <v>2221</v>
      </c>
      <c r="M34" s="320" t="s">
        <v>2222</v>
      </c>
      <c r="N34" s="320" t="s">
        <v>2223</v>
      </c>
      <c r="O34" s="320" t="s">
        <v>2224</v>
      </c>
      <c r="P34" s="320" t="s">
        <v>2225</v>
      </c>
      <c r="Q34" s="320" t="s">
        <v>2226</v>
      </c>
      <c r="R34" s="320" t="s">
        <v>2227</v>
      </c>
      <c r="S34" s="3563" t="s">
        <v>2228</v>
      </c>
      <c r="T34" s="2424" t="str">
        <f>NUMBERSTRING(7-K34,1)&amp;"通"</f>
        <v>七通</v>
      </c>
      <c r="U34" s="2435"/>
      <c r="V34" s="2435"/>
    </row>
    <row r="35" spans="1:30">
      <c r="A35" s="2425"/>
      <c r="B35" s="3570" t="s">
        <v>2229</v>
      </c>
      <c r="C35" s="3570"/>
      <c r="D35" s="3570"/>
      <c r="E35" s="3570"/>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3"/>
      <c r="T35" s="326" t="str">
        <f>IF(T34="一通",L35,IF(T34="二通",M35,IF(T34="三通",N35,IF(T34="四通",O35,IF(T34="五通",P35,IF(T34="六通",Q35,R35))))))</f>
        <v>、、、、、、</v>
      </c>
      <c r="U35" s="2435"/>
      <c r="V35" s="2435"/>
    </row>
    <row r="36" spans="1:30">
      <c r="A36" s="2426"/>
      <c r="B36" s="661" t="s">
        <v>2185</v>
      </c>
      <c r="C36" s="661" t="s">
        <v>2186</v>
      </c>
      <c r="D36" s="661" t="s">
        <v>2184</v>
      </c>
      <c r="E36" s="661" t="s">
        <v>2189</v>
      </c>
      <c r="F36" s="3061" t="s">
        <v>2579</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c r="E38" s="2428" t="s">
        <v>3005</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309.42</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309.42</v>
      </c>
      <c r="H5" s="13">
        <f t="shared" ref="H5:AT5" si="0">SUM(H13:H656)</f>
        <v>309.42</v>
      </c>
      <c r="I5" s="13">
        <f t="shared" si="0"/>
        <v>309.42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309.42</v>
      </c>
      <c r="BA5" s="15">
        <f t="shared" si="1"/>
        <v>309.42</v>
      </c>
      <c r="BB5" s="15">
        <f t="shared" si="1"/>
        <v>309.42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3429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3428</v>
      </c>
      <c r="E13" s="13">
        <f>IF($C$3="是",ROUND($A$3*G13/$B$3,2),ROUND($A$3*(G13-AT13)/$B$3,2))</f>
        <v>0</v>
      </c>
      <c r="F13" s="29"/>
      <c r="G13" s="30">
        <f>H13+AC13+AT13</f>
        <v>309.42</v>
      </c>
      <c r="H13" s="17">
        <f>SUMIF(I$12:AB$12,"总值",I13:AB13)</f>
        <v>309.42</v>
      </c>
      <c r="I13" s="1622">
        <v>309.42</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v>
      </c>
      <c r="AZ13" s="13">
        <f>BA13+BL13</f>
        <v>309.42</v>
      </c>
      <c r="BA13" s="13">
        <f>SUM(BB13:BK13)</f>
        <v>309.42</v>
      </c>
      <c r="BB13" s="13">
        <f>IF($D13="是",I13-J13,0)</f>
        <v>309.42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0" t="s">
        <v>1131</v>
      </c>
      <c r="B2" s="3580"/>
      <c r="C2" s="3580"/>
      <c r="D2" s="792" t="s">
        <v>1107</v>
      </c>
      <c r="E2" s="1635" t="s">
        <v>1108</v>
      </c>
      <c r="F2" s="2655"/>
      <c r="G2" s="2646"/>
      <c r="H2" s="2647"/>
      <c r="I2" s="2321" t="s">
        <v>1132</v>
      </c>
      <c r="J2" s="2655"/>
      <c r="K2" s="2655"/>
      <c r="L2" s="2655"/>
      <c r="M2" s="2655"/>
      <c r="N2" s="2657"/>
      <c r="O2" s="2655"/>
      <c r="P2" s="2655"/>
    </row>
    <row r="3" spans="1:16" ht="15.75" thickBot="1">
      <c r="A3" s="3581" t="s">
        <v>1105</v>
      </c>
      <c r="B3" s="3581"/>
      <c r="C3" s="3581"/>
      <c r="D3" s="43">
        <f>'数据-基础表'!AY6</f>
        <v>0</v>
      </c>
      <c r="E3" s="43">
        <f>'数据-基础表'!AZ5</f>
        <v>309.42</v>
      </c>
      <c r="F3" s="2655"/>
      <c r="G3" s="1141"/>
      <c r="H3" s="1022" t="s">
        <v>1106</v>
      </c>
      <c r="I3" s="851" t="e">
        <f>ROUND('数据-基础表'!B3/'数据-基础表'!A3,2)</f>
        <v>#DIV/0!</v>
      </c>
      <c r="J3" s="2655"/>
      <c r="K3" s="2655"/>
      <c r="L3" s="2655"/>
      <c r="M3" s="2655"/>
      <c r="N3" s="2657"/>
      <c r="O3" s="2655"/>
      <c r="P3" s="2655"/>
    </row>
    <row r="4" spans="1:16" ht="15">
      <c r="A4" s="3582"/>
      <c r="B4" s="3583"/>
      <c r="C4" s="3584"/>
      <c r="D4" s="1637" t="s">
        <v>1107</v>
      </c>
      <c r="E4" s="1638" t="s">
        <v>1108</v>
      </c>
      <c r="F4" s="2655"/>
      <c r="G4" s="2648" t="s">
        <v>1133</v>
      </c>
      <c r="H4" s="1022" t="s">
        <v>1113</v>
      </c>
      <c r="I4" s="851" t="e">
        <f>ROUND(SUMIF('数据-基础表'!I9:AS9,"地上",'数据-基础表'!I5:AS5)/'数据-基础表'!A3,2)</f>
        <v>#DIV/0!</v>
      </c>
      <c r="J4" s="2655"/>
      <c r="K4" s="2655"/>
      <c r="L4" s="2655"/>
      <c r="M4" s="2655"/>
      <c r="N4" s="2657"/>
      <c r="O4" s="2655"/>
      <c r="P4" s="2655"/>
    </row>
    <row r="5" spans="1:16">
      <c r="A5" s="44" t="s">
        <v>1109</v>
      </c>
      <c r="B5" s="3585" t="s">
        <v>1110</v>
      </c>
      <c r="C5" s="3585"/>
      <c r="D5" s="45">
        <f>ROUND($D$3*E5/$E$3,2)</f>
        <v>0</v>
      </c>
      <c r="E5" s="46">
        <f>SUMIF('数据-基础表'!$11:$11,"住宅",'数据-基础表'!$5:$5)</f>
        <v>0</v>
      </c>
      <c r="F5" s="2655"/>
      <c r="G5" s="1141"/>
      <c r="H5" s="1022" t="s">
        <v>1106</v>
      </c>
      <c r="I5" s="851" t="e">
        <f>ROUND(E31/D31,2)</f>
        <v>#DIV/0!</v>
      </c>
      <c r="J5" s="2655"/>
      <c r="K5" s="2655"/>
      <c r="L5" s="2655"/>
      <c r="M5" s="2655"/>
      <c r="N5" s="2655"/>
      <c r="O5" s="2655"/>
      <c r="P5" s="2655"/>
    </row>
    <row r="6" spans="1:16" ht="15" thickBot="1">
      <c r="A6" s="1640"/>
      <c r="B6" s="3585" t="s">
        <v>1111</v>
      </c>
      <c r="C6" s="3585"/>
      <c r="D6" s="45">
        <f>ROUND($D$3*E6/$E$3,2)</f>
        <v>0</v>
      </c>
      <c r="E6" s="46">
        <f>E3-E5</f>
        <v>309.42</v>
      </c>
      <c r="F6" s="2655"/>
      <c r="G6" s="2649" t="s">
        <v>1112</v>
      </c>
      <c r="H6" s="1142" t="s">
        <v>1113</v>
      </c>
      <c r="I6" s="2650" t="e">
        <f>ROUND(F31/D31,2)</f>
        <v>#DIV/0!</v>
      </c>
      <c r="J6" s="2655"/>
      <c r="K6" s="2655"/>
      <c r="L6" s="2655"/>
      <c r="M6" s="2655"/>
      <c r="N6" s="2655"/>
      <c r="O6" s="2655"/>
      <c r="P6" s="2655"/>
    </row>
    <row r="7" spans="1:16" ht="15.75" thickBot="1">
      <c r="A7" s="3577"/>
      <c r="B7" s="3578"/>
      <c r="C7" s="3579"/>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309.42</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309.42</v>
      </c>
      <c r="F16" s="2655"/>
      <c r="G16" s="2656"/>
      <c r="H16" s="1644" t="s">
        <v>1135</v>
      </c>
      <c r="I16" s="1645"/>
      <c r="J16" s="1135"/>
      <c r="K16" s="3574" t="s">
        <v>1135</v>
      </c>
      <c r="L16" s="3575"/>
      <c r="M16" s="3575"/>
      <c r="N16" s="3575"/>
      <c r="O16" s="3575"/>
      <c r="P16" s="3576"/>
    </row>
    <row r="17" spans="1:19" ht="15">
      <c r="A17" s="1646" t="s">
        <v>1136</v>
      </c>
      <c r="B17" s="1647" t="s">
        <v>1137</v>
      </c>
      <c r="C17" s="1648" t="s">
        <v>1138</v>
      </c>
      <c r="D17" s="1649" t="s">
        <v>1126</v>
      </c>
      <c r="E17" s="1650" t="s">
        <v>1127</v>
      </c>
      <c r="F17" s="1651"/>
      <c r="G17" s="1652"/>
      <c r="H17" s="1653" t="s">
        <v>1139</v>
      </c>
      <c r="I17" s="1654" t="s">
        <v>1124</v>
      </c>
      <c r="J17" s="1135"/>
      <c r="K17" s="3571" t="s">
        <v>1140</v>
      </c>
      <c r="L17" s="3572"/>
      <c r="M17" s="3573"/>
      <c r="N17" s="3571" t="s">
        <v>1141</v>
      </c>
      <c r="O17" s="3572"/>
      <c r="P17" s="3573"/>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3430</v>
      </c>
      <c r="D19" s="45">
        <f>ROUND($D$3*E19/$E$3,2)</f>
        <v>0</v>
      </c>
      <c r="E19" s="53">
        <f t="shared" ref="E19:E26" si="1">SUM(F19:G19)</f>
        <v>309.42</v>
      </c>
      <c r="F19" s="2791">
        <f>'数据-基础表'!I13</f>
        <v>309.42</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309.42</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309.42</v>
      </c>
      <c r="F27" s="1136">
        <f>IF(SUM(F19:F26)=E8,SUM(F19:F26),"地上面积有误")</f>
        <v>309.42</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309.42</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0</v>
      </c>
      <c r="E31" s="672">
        <f>E27+E30</f>
        <v>309.42</v>
      </c>
      <c r="F31" s="673">
        <f>F27+F30</f>
        <v>309.42</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45888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3431</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55635</v>
      </c>
      <c r="F6" s="64">
        <f>SUMIF(项目基本情况!C$12:I$12,C6,项目基本情况!C$15:I$15)</f>
        <v>26.7</v>
      </c>
      <c r="G6" s="65">
        <f>IF(ISERROR(ROUND(POWER(1+H6,D6-F6)*(POWER(1+H6,F6)-1)/(POWER(1+H6,D6)-1),3)),0,ROUND(POWER(1+H6,D6-F6)*(POWER(1+H6,F6)-1)/(POWER(1+H6,D6)-1),3))</f>
        <v>0.79800000000000004</v>
      </c>
      <c r="H6" s="728">
        <v>0.05</v>
      </c>
      <c r="I6" s="728">
        <v>5.5E-2</v>
      </c>
      <c r="J6" s="66">
        <v>7.0000000000000007E-2</v>
      </c>
      <c r="K6" s="1026">
        <f>SUMIF('数据-汇总表'!C$19:C$33,A6,'数据-汇总表'!E$19:E$33)</f>
        <v>309.42</v>
      </c>
      <c r="L6" s="729">
        <v>4000</v>
      </c>
      <c r="M6" s="67">
        <f t="shared" ref="M6:M14" si="0">ROUND(K6*L6/10000,0)</f>
        <v>124</v>
      </c>
      <c r="N6" s="727">
        <f>ROUND(1-(1-0%)*(2025-N19)/60,2)</f>
        <v>0.88</v>
      </c>
      <c r="O6" s="67" t="str">
        <f>IF($N$5="成新度","——",ROUND(M6*N6,0))</f>
        <v>——</v>
      </c>
      <c r="P6" s="68" t="str">
        <f>IF($N$5="成新度","——",M6-O6)</f>
        <v>——</v>
      </c>
      <c r="Q6" s="730">
        <v>0.1</v>
      </c>
      <c r="R6" s="69">
        <f ca="1">SUMIF('数据-汇总表'!C$19:C$33,A6,'数据-汇总表'!R$19:R$27)</f>
        <v>0</v>
      </c>
      <c r="S6" s="51">
        <f>IF('数据-汇总表'!$I$17="按面积比例",SUMIF('数据-汇总表'!C$19:C$33,A6,'数据-汇总表'!K$19:K$33),SUMIF('数据-汇总表'!C$19:C$33,A6,'数据-汇总表'!N$19:N$33))</f>
        <v>0</v>
      </c>
      <c r="T6" s="1168">
        <f>ROUND($L$14*S6/10000,0)</f>
        <v>0</v>
      </c>
      <c r="U6" s="3424">
        <v>1.2</v>
      </c>
      <c r="V6" s="70">
        <v>1.4999999999999999E-2</v>
      </c>
      <c r="W6" s="70">
        <v>0.1</v>
      </c>
      <c r="X6" s="1036"/>
      <c r="Y6" s="71">
        <f>N6</f>
        <v>0.88</v>
      </c>
      <c r="Z6" s="72"/>
      <c r="AA6" s="66"/>
      <c r="AB6" s="66"/>
      <c r="AC6" s="1036"/>
      <c r="AD6" s="73"/>
      <c r="AE6" s="1037">
        <f ca="1">IF(AN6="",0,SUMIF(INDIRECT("'"&amp;AN6&amp;"'"&amp;"!E:E"),$AE$5,INDIRECT("'"&amp;AN6&amp;"'"&amp;"!F:F")))</f>
        <v>26.7</v>
      </c>
      <c r="AF6" s="1344"/>
      <c r="AG6" s="135">
        <f>IF(AF6="",0,AE6-AF6)</f>
        <v>0</v>
      </c>
      <c r="AH6" s="74"/>
      <c r="AI6" s="76">
        <v>365</v>
      </c>
      <c r="AJ6" s="77"/>
      <c r="AK6" s="78">
        <v>3.0000000000000001E-3</v>
      </c>
      <c r="AL6" s="79">
        <v>1E-3</v>
      </c>
      <c r="AM6" s="80">
        <v>0.02</v>
      </c>
      <c r="AN6" s="1711" t="s">
        <v>3433</v>
      </c>
      <c r="AO6" s="52">
        <f ca="1">SUMIF(INDIRECT("'"&amp;AN6&amp;"'"&amp;"!A:A"),"总价",INDIRECT("'"&amp;AN6&amp;"'"&amp;"!B:B"))</f>
        <v>160.07310000000001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0.79800000000000004</v>
      </c>
      <c r="H16" s="90">
        <f>ROUND(SUMPRODUCT(H6:H13,K6:K13)/SUMPRODUCT((H6:H13&gt;0)*(K6:K13)),3)</f>
        <v>0.05</v>
      </c>
      <c r="I16" s="91"/>
      <c r="J16" s="91"/>
      <c r="K16" s="92">
        <f>SUM(K6:K15)</f>
        <v>309.42</v>
      </c>
      <c r="L16" s="93">
        <f>ROUND(M16*10000/SUM(K6:K14),0)</f>
        <v>4007</v>
      </c>
      <c r="M16" s="93">
        <f>SUM(M6:M14)</f>
        <v>124</v>
      </c>
      <c r="N16" s="94">
        <f>ROUND(SUMPRODUCT(M6:M14,N6:N14)/M16,3)</f>
        <v>0.88</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2302</v>
      </c>
      <c r="D19" s="2672"/>
      <c r="E19" s="2669"/>
      <c r="F19" s="2669"/>
      <c r="G19" s="2669"/>
      <c r="H19" s="2669"/>
      <c r="I19" s="2669"/>
      <c r="J19" s="2669"/>
      <c r="K19" s="2668"/>
      <c r="L19" s="2668"/>
      <c r="M19" s="2667"/>
      <c r="N19" s="2667">
        <v>2018</v>
      </c>
      <c r="O19" s="2667"/>
      <c r="P19" s="2667"/>
      <c r="Q19" s="2667"/>
      <c r="R19" s="2667"/>
      <c r="S19" s="2667"/>
      <c r="T19" s="2667"/>
      <c r="U19" s="3494">
        <f>'比较法-工业'!C43</f>
        <v>11069</v>
      </c>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2300</v>
      </c>
      <c r="D20" s="2672"/>
      <c r="E20" s="2669"/>
      <c r="F20" s="2669"/>
      <c r="G20" s="2669"/>
      <c r="H20" s="2669"/>
      <c r="I20" s="2669"/>
      <c r="J20" s="2669"/>
      <c r="K20" s="2668"/>
      <c r="L20" s="2668"/>
      <c r="M20" s="2667"/>
      <c r="N20" s="2667"/>
      <c r="O20" s="2667"/>
      <c r="P20" s="2667"/>
      <c r="Q20" s="2667"/>
      <c r="R20" s="2667"/>
      <c r="S20" s="2667"/>
      <c r="T20" s="2667"/>
      <c r="U20" s="3494">
        <f>U6*365/U19</f>
        <v>3.9569970187008766E-2</v>
      </c>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3494"/>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3494"/>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3494"/>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94"/>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7" t="s">
        <v>2304</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74">
        <v>0.05</v>
      </c>
      <c r="C33" s="2799" t="s">
        <v>3383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c r="C34" s="2799" t="s">
        <v>2295</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75">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76">
        <v>0.02</v>
      </c>
      <c r="C36" s="2799" t="s">
        <v>3401</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77">
        <v>0.03</v>
      </c>
      <c r="C37" s="2799" t="s">
        <v>3384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3478" t="s">
        <v>3432</v>
      </c>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6" t="s">
        <v>2286</v>
      </c>
      <c r="B1" s="3587"/>
      <c r="C1" s="3587"/>
      <c r="D1" s="3587"/>
      <c r="E1" s="3587"/>
      <c r="F1" s="3587"/>
      <c r="G1" s="358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0" t="s">
        <v>2254</v>
      </c>
      <c r="C4" s="2464" t="s">
        <v>2255</v>
      </c>
      <c r="D4" s="2461"/>
      <c r="E4" s="2465"/>
      <c r="F4" s="1369" t="s">
        <v>2256</v>
      </c>
      <c r="G4" s="2466" t="s">
        <v>2257</v>
      </c>
      <c r="H4" s="795"/>
      <c r="I4" s="795"/>
      <c r="J4" s="795"/>
      <c r="K4" s="795"/>
      <c r="L4" s="795"/>
      <c r="M4" s="795"/>
      <c r="N4" s="795"/>
      <c r="O4" s="795"/>
      <c r="P4" s="795"/>
      <c r="Q4" s="795"/>
      <c r="R4" s="795"/>
    </row>
    <row r="5" spans="1:29" ht="36.75">
      <c r="A5" s="2438"/>
      <c r="B5" s="320" t="s">
        <v>2258</v>
      </c>
      <c r="C5" s="2464" t="s">
        <v>2259</v>
      </c>
      <c r="D5" s="2461"/>
      <c r="E5" s="2465"/>
      <c r="F5" s="320" t="s">
        <v>2260</v>
      </c>
      <c r="G5" s="2466" t="s">
        <v>2261</v>
      </c>
      <c r="H5" s="795"/>
      <c r="I5" s="795"/>
      <c r="J5" s="795"/>
      <c r="K5" s="795"/>
      <c r="L5" s="795"/>
      <c r="M5" s="795"/>
      <c r="N5" s="795"/>
      <c r="O5" s="795"/>
      <c r="P5" s="795"/>
      <c r="Q5" s="795"/>
      <c r="R5" s="795"/>
    </row>
    <row r="6" spans="1:29" ht="36">
      <c r="A6" s="2438"/>
      <c r="B6" s="320" t="s">
        <v>2262</v>
      </c>
      <c r="C6" s="2466" t="s">
        <v>2257</v>
      </c>
      <c r="D6" s="2461"/>
      <c r="E6" s="2465"/>
      <c r="F6" s="320" t="s">
        <v>2263</v>
      </c>
      <c r="G6" s="2466" t="s">
        <v>2264</v>
      </c>
      <c r="H6" s="795"/>
      <c r="I6" s="795"/>
      <c r="J6" s="795"/>
      <c r="K6" s="795"/>
      <c r="L6" s="795"/>
      <c r="M6" s="795"/>
      <c r="N6" s="795"/>
      <c r="O6" s="795"/>
      <c r="P6" s="795"/>
      <c r="Q6" s="795"/>
      <c r="R6" s="795"/>
    </row>
    <row r="7" spans="1:29" ht="24.75" thickBot="1">
      <c r="A7" s="2438"/>
      <c r="B7" s="320" t="s">
        <v>2260</v>
      </c>
      <c r="C7" s="2466" t="s">
        <v>2261</v>
      </c>
      <c r="D7" s="2467"/>
      <c r="E7" s="2468"/>
      <c r="F7" s="2469" t="s">
        <v>2265</v>
      </c>
      <c r="G7" s="2470" t="s">
        <v>2266</v>
      </c>
      <c r="H7" s="795"/>
      <c r="I7" s="795"/>
      <c r="J7" s="795"/>
      <c r="K7" s="795"/>
      <c r="L7" s="795"/>
      <c r="M7" s="795"/>
      <c r="N7" s="795"/>
      <c r="O7" s="795"/>
      <c r="P7" s="795"/>
      <c r="Q7" s="795"/>
      <c r="R7" s="795"/>
    </row>
    <row r="8" spans="1:29">
      <c r="A8" s="2438"/>
      <c r="B8" s="320" t="s">
        <v>2263</v>
      </c>
      <c r="C8" s="2466" t="s">
        <v>2264</v>
      </c>
      <c r="D8" s="2467"/>
      <c r="E8" s="2467"/>
      <c r="F8" s="2471"/>
      <c r="G8" s="2471"/>
      <c r="H8" s="795"/>
      <c r="I8" s="795"/>
      <c r="J8" s="795"/>
      <c r="K8" s="795"/>
      <c r="L8" s="795"/>
      <c r="M8" s="795"/>
      <c r="N8" s="795"/>
      <c r="O8" s="795"/>
      <c r="P8" s="795"/>
      <c r="Q8" s="795"/>
      <c r="R8" s="795"/>
    </row>
    <row r="9" spans="1:29" ht="24">
      <c r="A9" s="2438"/>
      <c r="B9" s="320"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0"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0" t="s">
        <v>2263</v>
      </c>
      <c r="G20" s="2499" t="str">
        <f>G6</f>
        <v>估价对象所在区域基础设施水平</v>
      </c>
    </row>
    <row r="21" spans="1:18" ht="25.5">
      <c r="A21" s="2442"/>
      <c r="B21" s="320" t="s">
        <v>2260</v>
      </c>
      <c r="C21" s="2499" t="str">
        <f>C7</f>
        <v>估价对象所在区域公共配套设施齐备情况</v>
      </c>
      <c r="D21" s="2461"/>
      <c r="E21" s="2443"/>
      <c r="F21" s="2498" t="s">
        <v>2278</v>
      </c>
      <c r="G21" s="2501"/>
    </row>
    <row r="22" spans="1:18" ht="13.5" customHeight="1">
      <c r="A22" s="2442"/>
      <c r="B22" s="320"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5" sqref="E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309.42</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45888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260.40789999999998</v>
      </c>
      <c r="C5" s="2508">
        <f ca="1">IF(B5=D14,结果表!H102,ROUND(B5*10000/$B$1,0))</f>
        <v>8416</v>
      </c>
      <c r="D5" s="2508" t="e">
        <f ca="1">ROUND(B5*10000/$B$2,0)</f>
        <v>#DIV/0!</v>
      </c>
      <c r="E5" s="2682"/>
      <c r="F5" s="2683"/>
      <c r="G5" s="2683"/>
      <c r="H5" s="2684"/>
      <c r="I5" s="2684"/>
      <c r="J5" s="2684"/>
      <c r="K5" s="2684"/>
    </row>
    <row r="6" spans="1:11" ht="16.5">
      <c r="A6" s="2508" t="s">
        <v>656</v>
      </c>
      <c r="B6" s="2508">
        <f ca="1">SUM(G14:G23)</f>
        <v>260.40789999999998</v>
      </c>
      <c r="C6" s="2508">
        <f ca="1">IF(B6=G14,结果表!H108,ROUND(B6*10000/$B$1,0))</f>
        <v>8416</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309.42</v>
      </c>
      <c r="C14" s="2514"/>
      <c r="D14" s="2514">
        <f ca="1">结果表!G22/10000</f>
        <v>260.40789999999998</v>
      </c>
      <c r="E14" s="2514">
        <f ca="1">结果表!G20</f>
        <v>8416</v>
      </c>
      <c r="F14" s="2514" t="e">
        <f ca="1">ROUND(D14*10000/C14,0)</f>
        <v>#DIV/0!</v>
      </c>
      <c r="G14" s="2514">
        <f ca="1">D14</f>
        <v>260.40789999999998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11" sqref="K11"/>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5" t="str">
        <f>项目基本情况!S2</f>
        <v>北京市大兴区马朱路长子营段16号院17号楼3层301生产车间用房房地产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0" t="s">
        <v>1265</v>
      </c>
      <c r="B4" s="1751" t="s">
        <v>1266</v>
      </c>
      <c r="C4" s="1752" t="s">
        <v>3437</v>
      </c>
      <c r="D4" s="1752" t="s">
        <v>3433</v>
      </c>
      <c r="E4" s="3664" t="s">
        <v>1267</v>
      </c>
      <c r="F4" s="3665"/>
      <c r="G4" s="3665"/>
      <c r="H4" s="3665"/>
      <c r="I4" s="3666"/>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1"/>
      <c r="D5" s="3649"/>
      <c r="E5" s="128" t="s">
        <v>1269</v>
      </c>
      <c r="F5" s="1753"/>
      <c r="G5" s="1753"/>
      <c r="H5" s="1753"/>
      <c r="I5" s="1369"/>
    </row>
    <row r="6" spans="1:12" ht="12.75">
      <c r="A6" s="3603"/>
      <c r="B6" s="3658"/>
      <c r="C6" s="3663"/>
      <c r="D6" s="3649"/>
      <c r="E6" s="128" t="s">
        <v>1270</v>
      </c>
      <c r="F6" s="1753"/>
      <c r="G6" s="1753"/>
      <c r="H6" s="1753"/>
      <c r="I6" s="1369"/>
    </row>
    <row r="7" spans="1:12" ht="12.75">
      <c r="A7" s="3603"/>
      <c r="B7" s="3658"/>
      <c r="C7" s="3662"/>
      <c r="D7" s="3649"/>
      <c r="E7" s="128" t="s">
        <v>1271</v>
      </c>
      <c r="F7" s="1753"/>
      <c r="G7" s="1753"/>
      <c r="H7" s="1753"/>
      <c r="I7" s="1369"/>
    </row>
    <row r="8" spans="1:12" ht="12.75">
      <c r="A8" s="3603" t="s">
        <v>1272</v>
      </c>
      <c r="B8" s="3658">
        <v>15</v>
      </c>
      <c r="C8" s="3661"/>
      <c r="D8" s="3649"/>
      <c r="E8" s="128" t="s">
        <v>1273</v>
      </c>
      <c r="F8" s="1753"/>
      <c r="G8" s="1753"/>
      <c r="H8" s="1753"/>
      <c r="I8" s="1369"/>
    </row>
    <row r="9" spans="1:12" ht="12.75">
      <c r="A9" s="3603"/>
      <c r="B9" s="3658"/>
      <c r="C9" s="3662"/>
      <c r="D9" s="3649"/>
      <c r="E9" s="128" t="s">
        <v>1274</v>
      </c>
      <c r="F9" s="1753"/>
      <c r="G9" s="1753"/>
      <c r="H9" s="1753"/>
      <c r="I9" s="1369"/>
    </row>
    <row r="10" spans="1:12" ht="12.75">
      <c r="A10" s="3603" t="s">
        <v>1275</v>
      </c>
      <c r="B10" s="3658">
        <v>15</v>
      </c>
      <c r="C10" s="3661"/>
      <c r="D10" s="3649"/>
      <c r="E10" s="128" t="s">
        <v>1276</v>
      </c>
      <c r="F10" s="1753"/>
      <c r="G10" s="1753"/>
      <c r="H10" s="1753"/>
      <c r="I10" s="1369"/>
    </row>
    <row r="11" spans="1:12" ht="12.75">
      <c r="A11" s="3603"/>
      <c r="B11" s="3658"/>
      <c r="C11" s="3662"/>
      <c r="D11" s="3649"/>
      <c r="E11" s="128" t="s">
        <v>1277</v>
      </c>
      <c r="F11" s="1753"/>
      <c r="G11" s="1753"/>
      <c r="H11" s="1753"/>
      <c r="I11" s="1369"/>
    </row>
    <row r="12" spans="1:12" ht="12.75">
      <c r="A12" s="3603" t="s">
        <v>1278</v>
      </c>
      <c r="B12" s="3658">
        <v>15</v>
      </c>
      <c r="C12" s="3661"/>
      <c r="D12" s="3649"/>
      <c r="E12" s="128" t="s">
        <v>1279</v>
      </c>
      <c r="F12" s="1753"/>
      <c r="G12" s="1753"/>
      <c r="H12" s="1753"/>
      <c r="I12" s="1369"/>
    </row>
    <row r="13" spans="1:12" ht="12.75">
      <c r="A13" s="3603"/>
      <c r="B13" s="3658"/>
      <c r="C13" s="3662"/>
      <c r="D13" s="3649"/>
      <c r="E13" s="128" t="s">
        <v>1280</v>
      </c>
      <c r="F13" s="1753"/>
      <c r="G13" s="1753"/>
      <c r="H13" s="1753"/>
      <c r="I13" s="1369"/>
    </row>
    <row r="14" spans="1:12" ht="12.75">
      <c r="A14" s="3603" t="s">
        <v>1281</v>
      </c>
      <c r="B14" s="3658">
        <v>30</v>
      </c>
      <c r="C14" s="3661">
        <v>55</v>
      </c>
      <c r="D14" s="3649">
        <v>45</v>
      </c>
      <c r="E14" s="128" t="s">
        <v>1282</v>
      </c>
      <c r="F14" s="1753"/>
      <c r="G14" s="1753"/>
      <c r="H14" s="1753"/>
      <c r="I14" s="1369"/>
    </row>
    <row r="15" spans="1:12" ht="12.75">
      <c r="A15" s="3603"/>
      <c r="B15" s="3658"/>
      <c r="C15" s="3663"/>
      <c r="D15" s="3649"/>
      <c r="E15" s="128" t="s">
        <v>1283</v>
      </c>
      <c r="F15" s="1753"/>
      <c r="G15" s="1753"/>
      <c r="H15" s="1753"/>
      <c r="I15" s="1369"/>
    </row>
    <row r="16" spans="1:12" ht="12.75">
      <c r="A16" s="3603"/>
      <c r="B16" s="3658"/>
      <c r="C16" s="3662"/>
      <c r="D16" s="3649"/>
      <c r="E16" s="128" t="s">
        <v>1284</v>
      </c>
      <c r="F16" s="1753"/>
      <c r="G16" s="1753"/>
      <c r="H16" s="1753"/>
      <c r="I16" s="1369"/>
    </row>
    <row r="17" spans="1:36" ht="15">
      <c r="A17" s="1754" t="s">
        <v>1285</v>
      </c>
      <c r="B17" s="56"/>
      <c r="C17" s="129">
        <f>SUM(C5:C16)</f>
        <v>55</v>
      </c>
      <c r="D17" s="129">
        <f>SUM(D5:D16)</f>
        <v>45</v>
      </c>
      <c r="E17" s="126"/>
      <c r="F17" s="126"/>
      <c r="G17" s="126"/>
      <c r="H17" s="126"/>
      <c r="I17" s="126"/>
      <c r="K17" s="299"/>
      <c r="L17" s="299" t="s">
        <v>1286</v>
      </c>
      <c r="M17" s="299" t="s">
        <v>1287</v>
      </c>
    </row>
    <row r="18" spans="1:36" ht="31.9" customHeight="1" thickBot="1">
      <c r="A18" s="1755" t="s">
        <v>1288</v>
      </c>
      <c r="B18" s="1756"/>
      <c r="C18" s="130">
        <f>ROUND(C17/SUM(C17:D17),2)</f>
        <v>0.55000000000000004</v>
      </c>
      <c r="D18" s="130">
        <f>1-C18</f>
        <v>0.44999999999999996</v>
      </c>
      <c r="E18" s="3680" t="s">
        <v>2131</v>
      </c>
      <c r="F18" s="3681"/>
      <c r="G18" s="3681"/>
      <c r="H18" s="3681"/>
      <c r="I18" s="3681"/>
      <c r="K18" s="299" t="s">
        <v>1289</v>
      </c>
      <c r="L18" s="299">
        <f>IF(C1="",'数据-汇总表'!E3,SUMIF(项目类型,C1,'数据-汇总表'!E17:E26)+SUMIF(项目类型,C1,'数据-汇总表'!I17:I26))</f>
        <v>309.42</v>
      </c>
      <c r="M18" s="299">
        <f>IF(C1="",'数据-汇总表'!E3,SUMIF(项目类型,C1,'数据-汇总表'!E17:E26))</f>
        <v>309.42</v>
      </c>
    </row>
    <row r="19" spans="1:36" ht="15">
      <c r="A19" s="1757" t="s">
        <v>1290</v>
      </c>
      <c r="B19" s="1758" t="s">
        <v>1291</v>
      </c>
      <c r="C19" s="131">
        <f ca="1">SUMIF(INDIRECT("'"&amp;C4&amp;"'"&amp;"!A:A"),结果表!B19,INDIRECT("'"&amp;C4&amp;"'"&amp;"!B:B"))</f>
        <v>342.49700000000001</v>
      </c>
      <c r="D19" s="132">
        <f ca="1">SUMIF(INDIRECT("'"&amp;D4&amp;"'"&amp;"!A:A"),结果表!B19,INDIRECT("'"&amp;D4&amp;"'"&amp;"!B:B"))</f>
        <v>160.07310000000001</v>
      </c>
      <c r="E19" s="1757" t="s">
        <v>1292</v>
      </c>
      <c r="F19" s="1758" t="s">
        <v>1291</v>
      </c>
      <c r="G19" s="133">
        <f ca="1">ROUND(C19*$C$18+D19*$D$18,0)</f>
        <v>260</v>
      </c>
      <c r="H19" s="1759" t="s">
        <v>1293</v>
      </c>
      <c r="I19" s="126"/>
      <c r="K19" s="299" t="s">
        <v>1294</v>
      </c>
      <c r="L19" s="299">
        <f>IF(C1="",'数据-汇总表'!D3,SUMIF(项目类型,C1,'数据-汇总表'!D17:D26)+SUMIF(项目类型,C1,'数据-汇总表'!H17:H27))</f>
        <v>0</v>
      </c>
      <c r="M19" s="299">
        <f>IF(C1="",'数据-汇总表'!D3,SUMIF(项目类型,C1,'数据-汇总表'!D17:D26))</f>
        <v>0</v>
      </c>
    </row>
    <row r="20" spans="1:36" ht="15">
      <c r="A20" s="1760"/>
      <c r="B20" s="1022" t="s">
        <v>1295</v>
      </c>
      <c r="C20" s="134">
        <f ca="1">SUMIF(INDIRECT("'"&amp;C4&amp;"'"&amp;"!A:A"),结果表!B20,INDIRECT("'"&amp;C4&amp;"'"&amp;"!B:B"))</f>
        <v>11069</v>
      </c>
      <c r="D20" s="135">
        <f ca="1">SUMIF(INDIRECT("'"&amp;D4&amp;"'"&amp;"!A:A"),结果表!B20,INDIRECT("'"&amp;D4&amp;"'"&amp;"!B:B"))</f>
        <v>5173</v>
      </c>
      <c r="E20" s="1760"/>
      <c r="F20" s="1022" t="s">
        <v>1295</v>
      </c>
      <c r="G20" s="136">
        <f ca="1">ROUND(C20*$C$18+D20*$D$18,0)</f>
        <v>8416</v>
      </c>
      <c r="H20" s="804" t="s">
        <v>1296</v>
      </c>
      <c r="I20" s="126"/>
      <c r="J20" s="721">
        <v>8400</v>
      </c>
    </row>
    <row r="21" spans="1:36" ht="15" customHeight="1" thickBot="1">
      <c r="A21" s="824"/>
      <c r="B21" s="1761" t="s">
        <v>1297</v>
      </c>
      <c r="C21" s="715" t="e">
        <f ca="1">ROUND(C19*10000/L19,0)</f>
        <v>#DIV/0!</v>
      </c>
      <c r="D21" s="716" t="e">
        <f ca="1">ROUND(D19*10000/L19,0)</f>
        <v>#DIV/0!</v>
      </c>
      <c r="E21" s="824"/>
      <c r="F21" s="1761" t="s">
        <v>1297</v>
      </c>
      <c r="G21" s="137" t="e">
        <f ca="1">ROUND(G19*10000/L19,0)</f>
        <v>#DIV/0!</v>
      </c>
      <c r="H21" s="1762" t="s">
        <v>1296</v>
      </c>
      <c r="I21" s="126"/>
    </row>
    <row r="22" spans="1:36" ht="15" thickBot="1">
      <c r="A22" s="1684" t="s">
        <v>1298</v>
      </c>
      <c r="B22" s="1763"/>
      <c r="C22" s="1764"/>
      <c r="D22" s="717">
        <f ca="1">IF(C19&lt;D19,D19/C19-1,C19/D19-1)</f>
        <v>1.139628707134428</v>
      </c>
      <c r="E22" s="126"/>
      <c r="F22" s="126"/>
      <c r="G22" s="126">
        <f ca="1">ROUND(G20*'数据-汇总表'!E3,0)</f>
        <v>2604079</v>
      </c>
      <c r="H22" s="126"/>
      <c r="I22" s="126"/>
    </row>
    <row r="23" spans="1:36" ht="13.5" thickBot="1">
      <c r="A23" s="1743"/>
      <c r="B23" s="1743"/>
      <c r="C23" s="1743"/>
      <c r="D23" s="1743"/>
      <c r="E23" s="126"/>
      <c r="F23" s="126"/>
      <c r="G23" s="126"/>
      <c r="H23" s="126"/>
      <c r="I23" s="126"/>
    </row>
    <row r="24" spans="1:36" ht="14.25">
      <c r="A24" s="3673" t="s">
        <v>1299</v>
      </c>
      <c r="B24" s="1758" t="s">
        <v>1291</v>
      </c>
      <c r="C24" s="133">
        <f>IF(B30=0,0,D30)</f>
        <v>0</v>
      </c>
      <c r="D24" s="1765"/>
      <c r="E24" s="126"/>
      <c r="F24" s="126"/>
      <c r="G24" s="126"/>
      <c r="H24" s="126"/>
      <c r="I24" s="126"/>
    </row>
    <row r="25" spans="1:36" ht="14.25">
      <c r="A25" s="3674"/>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2132</v>
      </c>
      <c r="F30" s="126"/>
      <c r="G30" s="126"/>
      <c r="H30" s="126"/>
      <c r="I30" s="126"/>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8416</v>
      </c>
      <c r="D32" s="1771" t="s">
        <v>3438</v>
      </c>
      <c r="E32" s="126"/>
      <c r="F32" s="126"/>
      <c r="G32" s="126"/>
      <c r="H32" s="126"/>
      <c r="I32" s="126"/>
    </row>
    <row r="33" spans="1:15" ht="15">
      <c r="A33" s="782" t="s">
        <v>1306</v>
      </c>
      <c r="B33" s="1772"/>
      <c r="C33" s="1773" t="s">
        <v>3439</v>
      </c>
      <c r="D33" s="1774" t="s">
        <v>3433</v>
      </c>
      <c r="E33" s="1775" t="s">
        <v>1307</v>
      </c>
      <c r="F33" s="1776" t="str">
        <f>IF(D32="楼面单价","取值（单价）","取值（总价）")</f>
        <v>取值（单价）</v>
      </c>
      <c r="G33" s="126"/>
      <c r="H33" s="126"/>
      <c r="I33" s="126"/>
    </row>
    <row r="34" spans="1:15" ht="15">
      <c r="A34" s="1777"/>
      <c r="B34" s="1778" t="s">
        <v>1308</v>
      </c>
      <c r="C34" s="145">
        <f ca="1">IF(C33="自定义",F34,C32-C35)</f>
        <v>-1347</v>
      </c>
      <c r="D34" s="857">
        <f ca="1">IF(C33="自定义",ROUND(C34/C32,3),IF(C33="收益比率",SUMIF(INDIRECT("'"&amp;D33&amp;"'"&amp;"!b:b"),"土地收益比率",INDIRECT("'"&amp;D33&amp;"'"&amp;"!c:c")),SUMIF(INDIRECT("'"&amp;D33&amp;"'"&amp;"!b:b"),"土地成本比率",INDIRECT("'"&amp;D33&amp;"'"&amp;"!c:c"))))</f>
        <v>-0.15999999999999992</v>
      </c>
      <c r="E34" s="1779" t="s">
        <v>1309</v>
      </c>
      <c r="F34" s="1326"/>
      <c r="G34" s="126"/>
      <c r="H34" s="126"/>
      <c r="I34" s="126"/>
    </row>
    <row r="35" spans="1:15" ht="15.75" thickBot="1">
      <c r="A35" s="1780"/>
      <c r="B35" s="1781" t="s">
        <v>1310</v>
      </c>
      <c r="C35" s="1166">
        <f ca="1">IF(C33="自定义",F35,ROUND(C32*D35,0))</f>
        <v>9763</v>
      </c>
      <c r="D35" s="1167">
        <f ca="1">IF(C33="自定义",ROUND(C35/C32,3),IF(C33="收益比率",SUMIF(INDIRECT("'"&amp;D33&amp;"'"&amp;"!b:b"),"建筑物收益比率",INDIRECT("'"&amp;D33&amp;"'"&amp;"!c:c")),SUMIF(INDIRECT("'"&amp;D33&amp;"'"&amp;"!b:b"),"建筑物成本比率",INDIRECT("'"&amp;D33&amp;"'"&amp;"!c:c"))))</f>
        <v>1.1599999999999999</v>
      </c>
      <c r="E35" s="1782" t="s">
        <v>1311</v>
      </c>
      <c r="F35" s="151"/>
      <c r="G35" s="126"/>
      <c r="H35" s="126"/>
      <c r="I35" s="126"/>
    </row>
    <row r="36" spans="1:15" ht="15.75" thickBot="1">
      <c r="A36" s="3650" t="s">
        <v>1312</v>
      </c>
      <c r="B36" s="1783" t="s">
        <v>1313</v>
      </c>
      <c r="C36" s="142"/>
      <c r="D36" s="1784"/>
      <c r="E36" s="1785"/>
      <c r="F36" s="1786"/>
      <c r="G36" s="126"/>
      <c r="H36" s="126"/>
      <c r="I36" s="126"/>
    </row>
    <row r="37" spans="1:15" ht="15.75" thickBot="1">
      <c r="A37" s="3651"/>
      <c r="B37" s="1670" t="s">
        <v>1314</v>
      </c>
      <c r="C37" s="144"/>
      <c r="D37" s="1135"/>
      <c r="E37" s="1135"/>
      <c r="F37" s="1786"/>
      <c r="G37" s="126"/>
      <c r="H37" s="126"/>
      <c r="I37" s="126"/>
    </row>
    <row r="38" spans="1:15" ht="15.75" thickBot="1">
      <c r="A38" s="3652"/>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0" t="s">
        <v>1326</v>
      </c>
      <c r="B45" s="3671"/>
      <c r="C45" s="3672"/>
      <c r="D45" s="152">
        <f ca="1">ROUND(H101*F45,0)</f>
        <v>260</v>
      </c>
      <c r="E45" s="153" t="s">
        <v>1327</v>
      </c>
      <c r="F45" s="154">
        <v>1</v>
      </c>
      <c r="G45" s="155" t="s">
        <v>1328</v>
      </c>
      <c r="H45" s="126"/>
      <c r="I45" s="126"/>
      <c r="J45" s="3590" t="s">
        <v>1329</v>
      </c>
      <c r="K45" s="3590"/>
      <c r="L45" s="3590"/>
      <c r="M45" s="3590"/>
      <c r="N45" s="3590"/>
      <c r="O45" s="3590"/>
    </row>
    <row r="46" spans="1:15" ht="14.25" customHeight="1">
      <c r="A46" s="3667" t="s">
        <v>1330</v>
      </c>
      <c r="B46" s="3668"/>
      <c r="C46" s="3668"/>
      <c r="D46" s="3668"/>
      <c r="E46" s="3668"/>
      <c r="F46" s="3668"/>
      <c r="G46" s="3669"/>
      <c r="H46" s="1802"/>
      <c r="I46" s="156"/>
      <c r="J46" s="2519">
        <v>1</v>
      </c>
      <c r="K46" s="3591" t="s">
        <v>1331</v>
      </c>
      <c r="L46" s="3591"/>
      <c r="M46" s="3592"/>
      <c r="N46" s="3592"/>
      <c r="O46" s="3592"/>
    </row>
    <row r="47" spans="1:15" ht="12" customHeight="1">
      <c r="A47" s="157" t="s">
        <v>1332</v>
      </c>
      <c r="B47" s="158"/>
      <c r="C47" s="159"/>
      <c r="D47" s="1083" t="s">
        <v>1333</v>
      </c>
      <c r="E47" s="299" t="s">
        <v>1334</v>
      </c>
      <c r="F47" s="160" t="s">
        <v>1335</v>
      </c>
      <c r="G47" s="2542" t="s">
        <v>1336</v>
      </c>
      <c r="H47" s="2543"/>
      <c r="I47" s="156"/>
      <c r="J47" s="2519">
        <v>2</v>
      </c>
      <c r="K47" s="3591" t="s">
        <v>1337</v>
      </c>
      <c r="L47" s="3591"/>
      <c r="M47" s="3593">
        <f>'数据-取费表'!B2</f>
        <v>45888</v>
      </c>
      <c r="N47" s="3593"/>
      <c r="O47" s="3593"/>
    </row>
    <row r="48" spans="1:15" ht="25.5">
      <c r="A48" s="3653" t="s">
        <v>1338</v>
      </c>
      <c r="B48" s="3654"/>
      <c r="C48" s="3654"/>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91" t="s">
        <v>1340</v>
      </c>
      <c r="L48" s="3591"/>
      <c r="M48" s="3594">
        <f ca="1">H101</f>
        <v>260</v>
      </c>
      <c r="N48" s="3594"/>
      <c r="O48" s="3594"/>
    </row>
    <row r="49" spans="1:35" ht="25.5" customHeight="1">
      <c r="A49" s="2329" t="s">
        <v>1341</v>
      </c>
      <c r="B49" s="3639" t="s">
        <v>1342</v>
      </c>
      <c r="C49" s="3639"/>
      <c r="D49" s="1586">
        <v>0</v>
      </c>
      <c r="E49" s="321" t="s">
        <v>1343</v>
      </c>
      <c r="F49" s="2420" t="s">
        <v>28</v>
      </c>
      <c r="G49" s="3622"/>
      <c r="H49" s="2306" t="s">
        <v>2134</v>
      </c>
      <c r="I49" s="2307"/>
      <c r="J49" s="2519">
        <v>4</v>
      </c>
      <c r="K49" s="3591" t="str">
        <f>IF(项目基本情况!E8="房地产抵押价值","房地产抵押价值","抵押担保权已注销时的房地产抵押价值")</f>
        <v>房地产抵押价值</v>
      </c>
      <c r="L49" s="3591"/>
      <c r="M49" s="3594">
        <f ca="1">IF(项目基本情况!E8="房地产抵押价值",H107,H109)</f>
        <v>260</v>
      </c>
      <c r="N49" s="3594"/>
      <c r="O49" s="3594"/>
    </row>
    <row r="50" spans="1:35" ht="25.5" customHeight="1">
      <c r="A50" s="2547"/>
      <c r="B50" s="3639" t="s">
        <v>1344</v>
      </c>
      <c r="C50" s="3639"/>
      <c r="D50" s="2548"/>
      <c r="E50" s="329"/>
      <c r="F50" s="2420"/>
      <c r="G50" s="3623"/>
      <c r="H50" s="2308" t="s">
        <v>2135</v>
      </c>
      <c r="I50" s="2307"/>
      <c r="J50" s="3590" t="s">
        <v>1345</v>
      </c>
      <c r="K50" s="3590"/>
      <c r="L50" s="3590"/>
      <c r="M50" s="3590"/>
      <c r="N50" s="3590"/>
      <c r="O50" s="3590"/>
    </row>
    <row r="51" spans="1:35" ht="20.45" customHeight="1">
      <c r="A51" s="2549"/>
      <c r="B51" s="3639" t="s">
        <v>1346</v>
      </c>
      <c r="C51" s="3639"/>
      <c r="D51" s="1083"/>
      <c r="E51" s="324"/>
      <c r="F51" s="2420"/>
      <c r="G51" s="3624"/>
      <c r="H51" s="2308" t="s">
        <v>2136</v>
      </c>
      <c r="I51" s="2307"/>
      <c r="J51" s="2520" t="s">
        <v>1347</v>
      </c>
      <c r="K51" s="3591" t="s">
        <v>1348</v>
      </c>
      <c r="L51" s="3591"/>
      <c r="M51" s="2520" t="s">
        <v>1349</v>
      </c>
      <c r="N51" s="2520" t="s">
        <v>1350</v>
      </c>
      <c r="O51" s="2520" t="s">
        <v>1351</v>
      </c>
    </row>
    <row r="52" spans="1:35" ht="24" customHeight="1">
      <c r="A52" s="2331" t="s">
        <v>1352</v>
      </c>
      <c r="B52" s="3639" t="s">
        <v>1353</v>
      </c>
      <c r="C52" s="3639"/>
      <c r="D52" s="1083">
        <f ca="1">ROUND(D45*'数据-取费表'!B41/(1+'数据-取费表'!C42),0)</f>
        <v>14</v>
      </c>
      <c r="E52" s="2330" t="s">
        <v>1354</v>
      </c>
      <c r="F52" s="2550">
        <f>'数据-取费表'!B41</f>
        <v>5.5000000000000007E-2</v>
      </c>
      <c r="G52" s="2551"/>
      <c r="H52" s="2540"/>
      <c r="I52" s="1803"/>
      <c r="J52" s="2519">
        <v>1</v>
      </c>
      <c r="K52" s="3616" t="s">
        <v>1355</v>
      </c>
      <c r="L52" s="3616"/>
      <c r="M52" s="2521" t="b">
        <f>D48</f>
        <v>0</v>
      </c>
      <c r="N52" s="2519" t="str">
        <f>E48</f>
        <v>销售额×税（费）率</v>
      </c>
      <c r="O52" s="2522">
        <f>F48</f>
        <v>5.5000000000000007E-2</v>
      </c>
    </row>
    <row r="53" spans="1:35" ht="12" customHeight="1">
      <c r="A53" s="2331" t="s">
        <v>1356</v>
      </c>
      <c r="B53" s="3640" t="s">
        <v>2291</v>
      </c>
      <c r="C53" s="3641"/>
      <c r="D53" s="1083">
        <f ca="1">ROUND(D45*'数据-取费表'!B41/(1+'数据-取费表'!C42),0)</f>
        <v>14</v>
      </c>
      <c r="E53" s="2330" t="s">
        <v>1354</v>
      </c>
      <c r="F53" s="2550">
        <f>'数据-取费表'!B41</f>
        <v>5.5000000000000007E-2</v>
      </c>
      <c r="G53" s="2551"/>
      <c r="H53" s="2540"/>
      <c r="I53" s="1803"/>
      <c r="J53" s="2519">
        <v>2</v>
      </c>
      <c r="K53" s="3616" t="s">
        <v>1357</v>
      </c>
      <c r="L53" s="3616"/>
      <c r="M53" s="2521">
        <f t="shared" ref="M53:O54" ca="1" si="0">D55</f>
        <v>0</v>
      </c>
      <c r="N53" s="2519" t="str">
        <f t="shared" si="0"/>
        <v>销售额×税（费）率</v>
      </c>
      <c r="O53" s="2522" t="str">
        <f t="shared" si="0"/>
        <v>免征</v>
      </c>
    </row>
    <row r="54" spans="1:35" ht="12" customHeight="1">
      <c r="A54" s="2331" t="s">
        <v>1358</v>
      </c>
      <c r="B54" s="3640" t="s">
        <v>2292</v>
      </c>
      <c r="C54" s="3641"/>
      <c r="D54" s="1083">
        <f ca="1">C68</f>
        <v>14</v>
      </c>
      <c r="E54" s="324" t="s">
        <v>1359</v>
      </c>
      <c r="F54" s="2550">
        <f>'数据-取费表'!B41</f>
        <v>5.5000000000000007E-2</v>
      </c>
      <c r="G54" s="2551"/>
      <c r="H54" s="2552"/>
      <c r="I54" s="1803"/>
      <c r="J54" s="2519">
        <v>3</v>
      </c>
      <c r="K54" s="3616" t="s">
        <v>1360</v>
      </c>
      <c r="L54" s="3616"/>
      <c r="M54" s="2521">
        <f t="shared" ca="1" si="0"/>
        <v>148</v>
      </c>
      <c r="N54" s="2519" t="str">
        <f t="shared" si="0"/>
        <v>增值额×税（费）率</v>
      </c>
      <c r="O54" s="2523" t="str">
        <f t="shared" si="0"/>
        <v>免征</v>
      </c>
    </row>
    <row r="55" spans="1:35" ht="24" customHeight="1">
      <c r="A55" s="3676" t="s">
        <v>1361</v>
      </c>
      <c r="B55" s="3654"/>
      <c r="C55" s="3654"/>
      <c r="D55" s="2320">
        <f ca="1">IF(H55="个人住宅",0,ROUND(D45*I55,0))</f>
        <v>0</v>
      </c>
      <c r="E55" s="2330" t="s">
        <v>1362</v>
      </c>
      <c r="F55" s="2550" t="str">
        <f>IF(H55="正常",I55,"免征")</f>
        <v>免征</v>
      </c>
      <c r="G55" s="2551"/>
      <c r="H55" s="2546"/>
      <c r="I55" s="162">
        <f>'数据-取费表'!B49</f>
        <v>5.0000000000000001E-4</v>
      </c>
      <c r="J55" s="2519">
        <f>IF(H59="非个人房产","",4)</f>
        <v>4</v>
      </c>
      <c r="K55" s="3616" t="str">
        <f>IF(H59="非个人房产","——","个人所得税")</f>
        <v>个人所得税</v>
      </c>
      <c r="L55" s="3616"/>
      <c r="M55" s="2524">
        <f ca="1">D59</f>
        <v>2</v>
      </c>
      <c r="N55" s="2036" t="str">
        <f>E59</f>
        <v>差额计税</v>
      </c>
      <c r="O55" s="2525">
        <f>F59</f>
        <v>0.01</v>
      </c>
    </row>
    <row r="56" spans="1:35" ht="24.75">
      <c r="A56" s="3676" t="s">
        <v>1363</v>
      </c>
      <c r="B56" s="3654"/>
      <c r="C56" s="3654"/>
      <c r="D56" s="2320">
        <f ca="1">IF(H56="个人住宅",D57,D58)</f>
        <v>148</v>
      </c>
      <c r="E56" s="2330" t="s">
        <v>1364</v>
      </c>
      <c r="F56" s="2550" t="str">
        <f>IF(H56="正常",F58,"免征")</f>
        <v>免征</v>
      </c>
      <c r="G56" s="2553" t="s">
        <v>1365</v>
      </c>
      <c r="H56" s="2554"/>
      <c r="I56" s="1804"/>
      <c r="J56" s="2519" t="str">
        <f>IF(项目基本情况!K6="上海银行",IF(J55="",4,J55+1),"")</f>
        <v/>
      </c>
      <c r="K56" s="3597" t="str">
        <f>IF(项目基本情况!K6="上海银行","其他处置费用","")</f>
        <v/>
      </c>
      <c r="L56" s="3598"/>
      <c r="M56" s="2521" t="str">
        <f>IF(项目基本情况!K6="上海银行",M69,"")</f>
        <v/>
      </c>
      <c r="N56" s="3597" t="str">
        <f>IF(项目基本情况!K6="上海银行","包含处置中涉及的律师、诉讼、拍卖、评估等费用","")</f>
        <v/>
      </c>
      <c r="O56" s="3600"/>
    </row>
    <row r="57" spans="1:35" ht="12.75">
      <c r="A57" s="2331" t="s">
        <v>1341</v>
      </c>
      <c r="B57" s="3640" t="s">
        <v>1366</v>
      </c>
      <c r="C57" s="3641"/>
      <c r="D57" s="1586">
        <v>0</v>
      </c>
      <c r="E57" s="321" t="s">
        <v>1343</v>
      </c>
      <c r="F57" s="299"/>
      <c r="G57" s="2551"/>
      <c r="H57" s="2555"/>
      <c r="I57" s="1804"/>
      <c r="J57" s="3616">
        <f>IF(AND(J55="",J56=""),4,IF(项目基本情况!K6="上海银行",结果表!J56+1,结果表!J55+1))</f>
        <v>5</v>
      </c>
      <c r="K57" s="3616" t="s">
        <v>1367</v>
      </c>
      <c r="L57" s="2526" t="s">
        <v>1368</v>
      </c>
      <c r="M57" s="2527"/>
      <c r="N57" s="2528">
        <f ca="1">SUMIF(M52:M56,"&lt;9e307")</f>
        <v>150</v>
      </c>
      <c r="O57" s="2529"/>
      <c r="P57" s="2686">
        <f ca="1">N57/M49</f>
        <v>0.57692307692307687</v>
      </c>
    </row>
    <row r="58" spans="1:35" ht="24.75">
      <c r="A58" s="2331" t="s">
        <v>1352</v>
      </c>
      <c r="B58" s="3640" t="s">
        <v>1369</v>
      </c>
      <c r="C58" s="3639"/>
      <c r="D58" s="2320">
        <f ca="1">IF(H58="转让取得",C81,C97)</f>
        <v>148</v>
      </c>
      <c r="E58" s="2330" t="s">
        <v>1364</v>
      </c>
      <c r="F58" s="299" t="s">
        <v>28</v>
      </c>
      <c r="G58" s="2551"/>
      <c r="H58" s="2554"/>
      <c r="I58" s="1804"/>
      <c r="J58" s="3616"/>
      <c r="K58" s="3616"/>
      <c r="L58" s="2526" t="s">
        <v>1370</v>
      </c>
      <c r="M58" s="2530"/>
      <c r="N58" s="2531" t="str">
        <f ca="1">NUMBERSTRING(INT(N57*10000),2)&amp;"元整"</f>
        <v>壹佰伍拾万元整</v>
      </c>
      <c r="O58" s="2532"/>
    </row>
    <row r="59" spans="1:35" ht="24.75" thickBot="1">
      <c r="A59" s="3620" t="s">
        <v>1371</v>
      </c>
      <c r="B59" s="3621"/>
      <c r="C59" s="3621"/>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8">
        <f>J57+1</f>
        <v>6</v>
      </c>
      <c r="K59" s="3616" t="s">
        <v>1372</v>
      </c>
      <c r="L59" s="2519" t="s">
        <v>1368</v>
      </c>
      <c r="M59" s="2533"/>
      <c r="N59" s="2534">
        <f ca="1">M49-N57</f>
        <v>110</v>
      </c>
      <c r="O59" s="2535"/>
    </row>
    <row r="60" spans="1:35" ht="12" customHeight="1">
      <c r="A60" s="1805"/>
      <c r="B60" s="1743"/>
      <c r="C60" s="1743"/>
      <c r="D60" s="1743"/>
      <c r="E60" s="1574"/>
      <c r="F60" s="1804"/>
      <c r="G60" s="1804"/>
      <c r="H60" s="1806"/>
      <c r="I60" s="126"/>
      <c r="J60" s="3619"/>
      <c r="K60" s="3616"/>
      <c r="L60" s="2526" t="s">
        <v>1370</v>
      </c>
      <c r="M60" s="2530"/>
      <c r="N60" s="2531" t="str">
        <f ca="1">NUMBERSTRING(INT(N59*10000),2)&amp;"元整"</f>
        <v>壹佰壹拾万元整</v>
      </c>
      <c r="O60" s="2532"/>
    </row>
    <row r="61" spans="1:35" ht="13.5" thickBot="1">
      <c r="A61" s="3675" t="s">
        <v>1373</v>
      </c>
      <c r="B61" s="3675"/>
      <c r="C61" s="3675"/>
      <c r="D61" s="3675"/>
      <c r="E61" s="3675"/>
      <c r="F61" s="1804"/>
      <c r="G61" s="1804"/>
      <c r="H61" s="1806"/>
      <c r="I61" s="126"/>
      <c r="J61" s="2519">
        <f>J59+1</f>
        <v>7</v>
      </c>
      <c r="K61" s="3616" t="s">
        <v>1374</v>
      </c>
      <c r="L61" s="3616"/>
      <c r="M61" s="2536"/>
      <c r="N61" s="2537">
        <f ca="1">ROUND(N59*10000/'数据-汇总表'!E3,0)</f>
        <v>3555</v>
      </c>
      <c r="O61" s="2538"/>
    </row>
    <row r="62" spans="1:35" ht="12.75">
      <c r="A62" s="3635" t="s">
        <v>1375</v>
      </c>
      <c r="B62" s="3636"/>
      <c r="C62" s="2017"/>
      <c r="D62" s="2017" t="s">
        <v>1376</v>
      </c>
      <c r="E62" s="163" t="s">
        <v>1377</v>
      </c>
      <c r="F62" s="1804"/>
      <c r="G62" s="1804"/>
      <c r="H62" s="1806"/>
      <c r="I62" s="126"/>
    </row>
    <row r="63" spans="1:35" ht="12.75">
      <c r="A63" s="170" t="s">
        <v>330</v>
      </c>
      <c r="B63" s="164" t="s">
        <v>1378</v>
      </c>
      <c r="C63" s="2560">
        <f ca="1">ROUND((C64+C65)/(1+'数据-取费表'!C42),0)</f>
        <v>248</v>
      </c>
      <c r="D63" s="164"/>
      <c r="E63" s="165"/>
      <c r="F63" s="1804"/>
      <c r="G63" s="1804"/>
      <c r="H63" s="1806"/>
      <c r="I63" s="126"/>
      <c r="J63" s="3599" t="s">
        <v>1379</v>
      </c>
      <c r="K63" s="1328" t="s">
        <v>1380</v>
      </c>
      <c r="L63" s="1328">
        <f ca="1">IF(M49&gt;10000,M49*0.5%,IF(AND(M49&gt;1000,M49&lt;=10000),M49*1%,IF(AND(M49&gt;100,M49&lt;=1000),M49*3%,IF(AND(M49&gt;10,M49&lt;=100),M49*5%,M49*8%))))</f>
        <v>7.8</v>
      </c>
      <c r="M63" s="299">
        <f ca="1">ROUND(L63,1)</f>
        <v>7.8</v>
      </c>
      <c r="N63" s="2539"/>
      <c r="Z63" s="1748"/>
      <c r="AI63" s="1749"/>
    </row>
    <row r="64" spans="1:35" ht="14.25" customHeight="1">
      <c r="A64" s="166" t="s">
        <v>325</v>
      </c>
      <c r="B64" s="167" t="s">
        <v>1381</v>
      </c>
      <c r="C64" s="2561">
        <f ca="1">D45</f>
        <v>260</v>
      </c>
      <c r="D64" s="167" t="s">
        <v>26</v>
      </c>
      <c r="E64" s="169"/>
      <c r="F64" s="1804"/>
      <c r="G64" s="1804"/>
      <c r="H64" s="1806"/>
      <c r="I64" s="126"/>
      <c r="J64" s="3599"/>
      <c r="K64" s="1328" t="s">
        <v>1382</v>
      </c>
      <c r="L64" s="1328">
        <f ca="1">IF(M49&gt;2000,M49*0.5%,IF(AND(M49&gt;1000,M49&lt;=2000),M49*0.6%,IF(AND(M49&gt;500,M49&lt;=1000),M49*0.7%,IF(AND(M49&gt;200,M49&lt;=500),M49*0.8%,IF(AND(M49&gt;100,M49&lt;=200),M49*0.9%,IF(AND(M49&gt;50,M49&lt;=100),M49*1%,IF(AND(M49&gt;20,M49&lt;=50),M49*1.5%,IF(AND(M49&gt;10,M49&lt;=20),M49*2%,IF(AND(M49&gt;1,M49&lt;=10),M49*2.5%)))))))))</f>
        <v>2.08</v>
      </c>
      <c r="M64" s="299">
        <f t="shared" ref="M64:M65" ca="1" si="1">ROUND(L64,1)</f>
        <v>2.1</v>
      </c>
      <c r="N64" s="2540" t="s">
        <v>1383</v>
      </c>
      <c r="Z64" s="1748"/>
      <c r="AI64" s="1749"/>
    </row>
    <row r="65" spans="1:35" ht="14.25" customHeight="1">
      <c r="A65" s="166" t="s">
        <v>326</v>
      </c>
      <c r="B65" s="167" t="s">
        <v>1384</v>
      </c>
      <c r="C65" s="2562"/>
      <c r="D65" s="167"/>
      <c r="E65" s="169"/>
      <c r="F65" s="1804"/>
      <c r="G65" s="1804"/>
      <c r="H65" s="1806"/>
      <c r="I65" s="126"/>
      <c r="J65" s="3599"/>
      <c r="K65" s="1328" t="s">
        <v>1385</v>
      </c>
      <c r="L65" s="1328">
        <f ca="1">IF(M49&gt;1000,M49*0.1%,IF(AND(M49&gt;500,M49&lt;=1000),M49*0.5%,IF(AND(M49&gt;50,M49&lt;=500),M49*1%,IF(AND(M49&gt;1,M49&lt;=50),M49*1.5%))))</f>
        <v>2.6</v>
      </c>
      <c r="M65" s="299">
        <f t="shared" ca="1" si="1"/>
        <v>2.6</v>
      </c>
      <c r="N65" s="2540" t="s">
        <v>1383</v>
      </c>
      <c r="Z65" s="1748"/>
      <c r="AI65" s="1749"/>
    </row>
    <row r="66" spans="1:35" ht="14.25" customHeight="1">
      <c r="A66" s="170" t="s">
        <v>327</v>
      </c>
      <c r="B66" s="171" t="s">
        <v>1386</v>
      </c>
      <c r="C66" s="2563"/>
      <c r="D66" s="171" t="s">
        <v>26</v>
      </c>
      <c r="E66" s="1334" t="s">
        <v>671</v>
      </c>
      <c r="F66" s="1804"/>
      <c r="G66" s="1804"/>
      <c r="H66" s="1806"/>
      <c r="I66" s="126"/>
      <c r="J66" s="3599"/>
      <c r="K66" s="1328" t="s">
        <v>1387</v>
      </c>
      <c r="L66" s="1328">
        <f ca="1">M49*0.5%</f>
        <v>1.3</v>
      </c>
      <c r="M66" s="299">
        <f ca="1">IF(L66&gt;0.5,0.5,ROUND(L66,0))</f>
        <v>0.5</v>
      </c>
      <c r="N66" s="2540" t="s">
        <v>1388</v>
      </c>
      <c r="Z66" s="1748"/>
      <c r="AI66" s="1749"/>
    </row>
    <row r="67" spans="1:35" ht="14.25" customHeight="1">
      <c r="A67" s="170" t="s">
        <v>328</v>
      </c>
      <c r="B67" s="171" t="s">
        <v>1389</v>
      </c>
      <c r="C67" s="2564">
        <f ca="1">C63-C66</f>
        <v>248</v>
      </c>
      <c r="D67" s="167" t="s">
        <v>26</v>
      </c>
      <c r="E67" s="169"/>
      <c r="F67" s="1804"/>
      <c r="G67" s="1804"/>
      <c r="H67" s="1806"/>
      <c r="I67" s="126"/>
      <c r="J67" s="3599"/>
      <c r="K67" s="1328" t="s">
        <v>1390</v>
      </c>
      <c r="L67" s="1328">
        <f ca="1">IF(M49&gt;=10000,(8.25+(M49-10000)*0.01%),IF(AND(M49&gt;=8000,M49&lt;10000),(7.85+(M49-8000)*0.02%),IF(AND(M49&gt;=5000,M49&lt;8000),(6.65+(M49-5000)*0.04%),IF(AND(M49&gt;=2000,M49&lt;5000),(4.25+(PM49-2000)*0.08%),IF(AND(M49&gt;=1000,M49&lt;2000),(2.75+(M49-1000)*0.15%),IF(AND(M49&gt;=100,M49&lt;1000),(0.5+(M49-100)*0.25%),IF(AND(M49&gt;0,M49&lt;100),M49*0.5%)))))))</f>
        <v>0.9</v>
      </c>
      <c r="M67" s="299">
        <f ca="1">ROUND(L67*0.9,1)</f>
        <v>0.8</v>
      </c>
      <c r="N67" s="2539"/>
      <c r="Z67" s="1748"/>
      <c r="AI67" s="1749"/>
    </row>
    <row r="68" spans="1:35" ht="14.25" customHeight="1" thickBot="1">
      <c r="A68" s="173" t="s">
        <v>329</v>
      </c>
      <c r="B68" s="174" t="s">
        <v>1391</v>
      </c>
      <c r="C68" s="2565">
        <f ca="1">IF(C67&lt;=0,0,ROUND(C67*D68,0))</f>
        <v>14</v>
      </c>
      <c r="D68" s="2566">
        <f>'数据-取费表'!B41</f>
        <v>5.5000000000000007E-2</v>
      </c>
      <c r="E68" s="175"/>
      <c r="F68" s="1804"/>
      <c r="G68" s="1804"/>
      <c r="H68" s="1806"/>
      <c r="I68" s="126"/>
      <c r="J68" s="3599"/>
      <c r="K68" s="1328" t="s">
        <v>1392</v>
      </c>
      <c r="L68" s="1328">
        <f ca="1">IF(M49&gt;10000,M49*0.5%,IF(AND(M49&gt;5000,M49&lt;=10000),M49*1%,IF(AND(M49&gt;1000,M49&lt;=5000),M49*2%,IF(AND(M49&gt;200,M49&lt;=1000),M49*3%,M49*5%))))</f>
        <v>7.8</v>
      </c>
      <c r="M68" s="299">
        <f ca="1">ROUND(L68,1)</f>
        <v>7.8</v>
      </c>
      <c r="N68" s="2539"/>
      <c r="Z68" s="1748"/>
      <c r="AI68" s="1749"/>
    </row>
    <row r="69" spans="1:35" s="1768" customFormat="1" ht="16.5" customHeight="1">
      <c r="A69" s="1807"/>
      <c r="B69" s="1808"/>
      <c r="C69" s="1809"/>
      <c r="D69" s="1810"/>
      <c r="E69" s="1811"/>
      <c r="F69" s="1574"/>
      <c r="G69" s="1574"/>
      <c r="H69" s="1573"/>
      <c r="I69" s="1743"/>
      <c r="J69" s="3599"/>
      <c r="K69" s="1328" t="s">
        <v>1393</v>
      </c>
      <c r="L69" s="1328"/>
      <c r="M69" s="299">
        <f ca="1">ROUND(SUM(M63:M68),0)</f>
        <v>22</v>
      </c>
      <c r="N69" s="2541">
        <f ca="1">M69/M49</f>
        <v>8.461538461538462E-2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3" t="s">
        <v>1394</v>
      </c>
      <c r="B70" s="3644"/>
      <c r="C70" s="3644"/>
      <c r="D70" s="3644"/>
      <c r="E70" s="3644"/>
      <c r="F70" s="3644"/>
      <c r="G70" s="3644"/>
      <c r="H70" s="364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5" t="s">
        <v>1375</v>
      </c>
      <c r="B71" s="3636"/>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248</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40" t="s">
        <v>1402</v>
      </c>
      <c r="F76" s="3639"/>
      <c r="G76" s="3639"/>
      <c r="H76" s="364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v>
      </c>
      <c r="D78" s="2573">
        <f>'数据-取费表'!B43</f>
        <v>5.000000000000001E-3</v>
      </c>
      <c r="E78" s="3632" t="s">
        <v>1406</v>
      </c>
      <c r="F78" s="3633"/>
      <c r="G78" s="3633"/>
      <c r="H78" s="363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247</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247</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148</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3" t="s">
        <v>1410</v>
      </c>
      <c r="B83" s="3644"/>
      <c r="C83" s="3644"/>
      <c r="D83" s="3644"/>
      <c r="E83" s="3644"/>
      <c r="F83" s="3644"/>
      <c r="G83" s="3644"/>
      <c r="H83" s="364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5" t="s">
        <v>1375</v>
      </c>
      <c r="B84" s="3636"/>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248</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01" t="s">
        <v>2129</v>
      </c>
      <c r="H90" s="3602"/>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32" t="s">
        <v>1419</v>
      </c>
      <c r="F91" s="3633"/>
      <c r="G91" s="363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32" t="s">
        <v>1422</v>
      </c>
      <c r="F92" s="3633"/>
      <c r="G92" s="3633"/>
      <c r="H92" s="3634"/>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v>
      </c>
      <c r="D93" s="2573">
        <f>'数据-取费表'!B43</f>
        <v>5.000000000000001E-3</v>
      </c>
      <c r="E93" s="3632" t="s">
        <v>1406</v>
      </c>
      <c r="F93" s="3633"/>
      <c r="G93" s="3633"/>
      <c r="H93" s="363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77" t="s">
        <v>1426</v>
      </c>
      <c r="F94" s="3678"/>
      <c r="G94" s="3678"/>
      <c r="H94" s="367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247</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247</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148</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2" t="s">
        <v>1428</v>
      </c>
      <c r="B100" s="3583"/>
      <c r="C100" s="3583"/>
      <c r="D100" s="3617"/>
      <c r="E100" s="3583" t="s">
        <v>1429</v>
      </c>
      <c r="F100" s="3583"/>
      <c r="G100" s="3583"/>
      <c r="H100" s="3617"/>
      <c r="I100" s="126"/>
    </row>
    <row r="101" spans="1:35" ht="18.75" customHeight="1">
      <c r="A101" s="3625" t="s">
        <v>1430</v>
      </c>
      <c r="B101" s="3626"/>
      <c r="C101" s="2581" t="str">
        <f>C4</f>
        <v>比较法-工业</v>
      </c>
      <c r="D101" s="2582" t="str">
        <f>D4</f>
        <v>收益法 (元)</v>
      </c>
      <c r="E101" s="3595" t="s">
        <v>1431</v>
      </c>
      <c r="F101" s="3596"/>
      <c r="G101" s="1823" t="s">
        <v>1432</v>
      </c>
      <c r="H101" s="2591">
        <f ca="1">H118</f>
        <v>260</v>
      </c>
      <c r="I101" s="126"/>
    </row>
    <row r="102" spans="1:35" ht="18.75" customHeight="1">
      <c r="A102" s="3627" t="s">
        <v>1433</v>
      </c>
      <c r="B102" s="2580" t="s">
        <v>1432</v>
      </c>
      <c r="C102" s="2581">
        <f ca="1">IF(D32="楼面单价",ROUND(C19,0),C19)</f>
        <v>342</v>
      </c>
      <c r="D102" s="2582">
        <f ca="1">IF(D32="楼面单价",ROUND(D19,0),D19)</f>
        <v>160</v>
      </c>
      <c r="E102" s="3595"/>
      <c r="F102" s="3596"/>
      <c r="G102" s="1823" t="s">
        <v>1434</v>
      </c>
      <c r="H102" s="2551">
        <f ca="1">I118</f>
        <v>8416</v>
      </c>
      <c r="I102" s="126"/>
    </row>
    <row r="103" spans="1:35" ht="42.75" customHeight="1">
      <c r="A103" s="3627"/>
      <c r="B103" s="2580" t="s">
        <v>1434</v>
      </c>
      <c r="C103" s="2583">
        <f ca="1">C20</f>
        <v>11069</v>
      </c>
      <c r="D103" s="2584">
        <f ca="1">D20</f>
        <v>5173</v>
      </c>
      <c r="E103" s="3588" t="s">
        <v>1435</v>
      </c>
      <c r="F103" s="3589"/>
      <c r="G103" s="1824" t="s">
        <v>1436</v>
      </c>
      <c r="H103" s="2591">
        <f>IF(D36="正常操作",H104+H105+H106,H105+H106)</f>
        <v>0</v>
      </c>
      <c r="I103" s="126"/>
    </row>
    <row r="104" spans="1:35" ht="18.75" customHeight="1">
      <c r="A104" s="3627" t="s">
        <v>1437</v>
      </c>
      <c r="B104" s="2585" t="s">
        <v>1432</v>
      </c>
      <c r="C104" s="2586">
        <f ca="1">H118</f>
        <v>260</v>
      </c>
      <c r="D104" s="2587"/>
      <c r="E104" s="1670" t="s">
        <v>1438</v>
      </c>
      <c r="F104" s="1662"/>
      <c r="G104" s="1824" t="s">
        <v>1436</v>
      </c>
      <c r="H104" s="2592">
        <f>IF(D36="同一抵押权人同一抵押物续贷",C36&amp;"（续贷，未扣减，详见特别提示）",C36)</f>
        <v>0</v>
      </c>
      <c r="I104" s="126"/>
    </row>
    <row r="105" spans="1:35" ht="18.75" customHeight="1" thickBot="1">
      <c r="A105" s="3637"/>
      <c r="B105" s="2588" t="s">
        <v>1434</v>
      </c>
      <c r="C105" s="2589">
        <f ca="1">I118</f>
        <v>8416</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28" t="str">
        <f>IF(项目基本情况!E8="已注销","——","3.房地产抵押价值")</f>
        <v>3.房地产抵押价值</v>
      </c>
      <c r="F107" s="3596"/>
      <c r="G107" s="1823" t="s">
        <v>1432</v>
      </c>
      <c r="H107" s="2591">
        <f ca="1">IF(E107="——","——",H101-H103)</f>
        <v>260</v>
      </c>
      <c r="I107" s="126"/>
    </row>
    <row r="108" spans="1:35" ht="18.75" customHeight="1">
      <c r="A108" s="126"/>
      <c r="B108" s="126"/>
      <c r="C108" s="126"/>
      <c r="D108" s="126"/>
      <c r="E108" s="3628"/>
      <c r="F108" s="3596"/>
      <c r="G108" s="1823" t="s">
        <v>1434</v>
      </c>
      <c r="H108" s="2551">
        <f ca="1">IF(H107=H101,H102,ROUND(H107*10000/'数据-汇总表'!E3,0))</f>
        <v>8416</v>
      </c>
      <c r="I108" s="126"/>
    </row>
    <row r="109" spans="1:35" ht="18.75" customHeight="1">
      <c r="A109" s="126"/>
      <c r="B109" s="126"/>
      <c r="C109" s="126"/>
      <c r="D109" s="126"/>
      <c r="E109" s="3628" t="str">
        <f>IF(项目基本情况!E8="已注销及未注销","4.抵押担保权已注销时的房地产抵押价值",IF(项目基本情况!E8="已注销","3.抵押担保权已注销时的房地产抵押价值","——"))</f>
        <v>——</v>
      </c>
      <c r="F109" s="3596"/>
      <c r="G109" s="1823" t="s">
        <v>1432</v>
      </c>
      <c r="H109" s="2594" t="str">
        <f>IF(E109="——","——",H101-H105-H106)</f>
        <v>——</v>
      </c>
      <c r="I109" s="126"/>
    </row>
    <row r="110" spans="1:35" ht="18.75" customHeight="1">
      <c r="A110" s="126"/>
      <c r="B110" s="126"/>
      <c r="C110" s="126"/>
      <c r="D110" s="126"/>
      <c r="E110" s="3628"/>
      <c r="F110" s="3596"/>
      <c r="G110" s="1823" t="s">
        <v>1434</v>
      </c>
      <c r="H110" s="2551" t="str">
        <f>IF(H109="——","——",ROUND(H109*10000/'数据-汇总表'!E3,0))</f>
        <v>——</v>
      </c>
      <c r="I110" s="126"/>
    </row>
    <row r="111" spans="1:35" ht="18.75" customHeight="1">
      <c r="A111" s="126"/>
      <c r="B111" s="126"/>
      <c r="C111" s="126"/>
      <c r="D111" s="126"/>
      <c r="E111" s="3629" t="str">
        <f>IF(项目基本情况!E9="抵押净值",IF(OR(项目基本情况!E8="已注销",项目基本情况!E8="房地产抵押价值"),"4.抵押净值","5.抵押净值"),"——")</f>
        <v>——</v>
      </c>
      <c r="F111" s="3615"/>
      <c r="G111" s="1823" t="s">
        <v>1432</v>
      </c>
      <c r="H111" s="2591" t="str">
        <f>IF(E111="——","——",N59)</f>
        <v>——</v>
      </c>
      <c r="I111" s="126"/>
    </row>
    <row r="112" spans="1:35" ht="18.75" customHeight="1" thickBot="1">
      <c r="A112" s="126"/>
      <c r="B112" s="126"/>
      <c r="C112" s="126"/>
      <c r="D112" s="126"/>
      <c r="E112" s="3630"/>
      <c r="F112" s="3631"/>
      <c r="G112" s="1826" t="s">
        <v>1434</v>
      </c>
      <c r="H112" s="2595" t="str">
        <f>IF(E111="——","——",N61)</f>
        <v>——</v>
      </c>
      <c r="I112" s="126"/>
    </row>
    <row r="113" spans="1:27" ht="18.75" customHeight="1">
      <c r="A113" s="126"/>
      <c r="B113" s="126"/>
      <c r="C113" s="126"/>
      <c r="D113" s="126"/>
      <c r="E113" s="3638" t="s">
        <v>1440</v>
      </c>
      <c r="F113" s="3638"/>
      <c r="G113" s="3638"/>
      <c r="H113" s="3638"/>
      <c r="I113" s="126"/>
    </row>
    <row r="114" spans="1:27" ht="3.75" customHeight="1">
      <c r="A114" s="1743"/>
      <c r="B114" s="1743"/>
      <c r="C114" s="1743"/>
      <c r="D114" s="1743"/>
      <c r="E114" s="1805"/>
      <c r="F114" s="1805"/>
      <c r="G114" s="1805"/>
      <c r="H114" s="1805"/>
      <c r="I114" s="1743"/>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5" t="s">
        <v>1449</v>
      </c>
      <c r="E117" s="2325" t="s">
        <v>1450</v>
      </c>
      <c r="F117" s="2325" t="s">
        <v>1449</v>
      </c>
      <c r="G117" s="2325" t="s">
        <v>1451</v>
      </c>
      <c r="H117" s="2325" t="s">
        <v>1449</v>
      </c>
      <c r="I117" s="2325" t="s">
        <v>1451</v>
      </c>
    </row>
    <row r="118" spans="1:27" ht="24.75" customHeight="1">
      <c r="A118" s="2596" t="str">
        <f>项目基本情况!S2</f>
        <v>北京市大兴区马朱路长子营段16号院17号楼3层301生产车间用房房地产</v>
      </c>
      <c r="B118" s="2325">
        <f>M18</f>
        <v>309.42</v>
      </c>
      <c r="C118" s="2325">
        <f>M19</f>
        <v>0</v>
      </c>
      <c r="D118" s="2325">
        <f ca="1">ROUND(IF(D32="总价",C34,E118*B118/10000),0)</f>
        <v>-42</v>
      </c>
      <c r="E118" s="2325">
        <f ca="1">ROUND(IF(C33="自定义",IF(D32="楼面单价",C34,D118*10000/B118),I118-G118),0)</f>
        <v>-1347</v>
      </c>
      <c r="F118" s="2325">
        <f ca="1">ROUND(IF(D32="总价",C35,G118*B118/10000),0)</f>
        <v>302</v>
      </c>
      <c r="G118" s="2325">
        <f ca="1">ROUND(IF(D32="楼面单价",C35,F118*10000/B118),0)</f>
        <v>9763</v>
      </c>
      <c r="H118" s="2325">
        <f ca="1">ROUND(IF(D32="总价",C32,I118*B118/10000),0)</f>
        <v>260</v>
      </c>
      <c r="I118" s="2325">
        <f ca="1">ROUND(IF(D32="楼面单价",C32,H118*10000/B118),0)</f>
        <v>8416</v>
      </c>
    </row>
    <row r="119" spans="1:27" ht="18.75" customHeight="1">
      <c r="A119" s="3603" t="s">
        <v>1452</v>
      </c>
      <c r="B119" s="3603"/>
      <c r="C119" s="3603"/>
      <c r="D119" s="3609" t="e">
        <f ca="1">NUMBERSTRING(INT(D118*10000),2)&amp;"元整"</f>
        <v>#NUM!</v>
      </c>
      <c r="E119" s="3610"/>
      <c r="F119" s="3609" t="str">
        <f ca="1">NUMBERSTRING(INT(F118*10000),2)&amp;"元整"</f>
        <v>叁佰零贰万元整</v>
      </c>
      <c r="G119" s="3610"/>
      <c r="H119" s="3609" t="str">
        <f ca="1">NUMBERSTRING(INT(H118*10000),2)&amp;"元整"</f>
        <v>贰佰陆拾万元整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9" t="s">
        <v>1452</v>
      </c>
      <c r="B121" s="3611"/>
      <c r="C121" s="3610"/>
      <c r="D121" s="3609" t="str">
        <f>IF(D120=0,"零元整",NUMBERSTRING(INT(D120*10000),2)&amp;"元整")</f>
        <v>零元整</v>
      </c>
      <c r="E121" s="3611"/>
      <c r="F121" s="3611"/>
      <c r="G121" s="3611"/>
      <c r="H121" s="3611"/>
      <c r="I121" s="3610"/>
      <c r="AA121" s="721"/>
    </row>
    <row r="122" spans="1:27" ht="18.75" customHeight="1">
      <c r="A122" s="3615" t="str">
        <f>IF(项目基本情况!B9="房地产市场价值","",MID(E107,3,LEN(E107)-2))</f>
        <v>房地产抵押价值</v>
      </c>
      <c r="B122" s="3615"/>
      <c r="C122" s="3615"/>
      <c r="D122" s="3604">
        <f ca="1">H107</f>
        <v>260</v>
      </c>
      <c r="E122" s="3605"/>
      <c r="F122" s="3605"/>
      <c r="G122" s="3605"/>
      <c r="H122" s="3605"/>
      <c r="I122" s="3606"/>
      <c r="AA122" s="721"/>
    </row>
    <row r="123" spans="1:27" ht="18.75" customHeight="1">
      <c r="A123" s="3603" t="s">
        <v>1452</v>
      </c>
      <c r="B123" s="3603"/>
      <c r="C123" s="3603"/>
      <c r="D123" s="3609" t="str">
        <f ca="1">NUMBERSTRING(INT(D122*10000),2)&amp;"元整"</f>
        <v>贰佰陆拾万元整</v>
      </c>
      <c r="E123" s="3611"/>
      <c r="F123" s="3611"/>
      <c r="G123" s="3611"/>
      <c r="H123" s="3611"/>
      <c r="I123" s="3610"/>
      <c r="AA123" s="721"/>
    </row>
    <row r="124" spans="1:27" ht="18.75" customHeight="1">
      <c r="A124" s="3615" t="str">
        <f>IF(项目基本情况!B9="房地产市场价值","",MID(E109,3,LEN(E109)-2))</f>
        <v/>
      </c>
      <c r="B124" s="3615"/>
      <c r="C124" s="3615"/>
      <c r="D124" s="3604" t="str">
        <f>H109</f>
        <v>——</v>
      </c>
      <c r="E124" s="3605"/>
      <c r="F124" s="3605"/>
      <c r="G124" s="3605"/>
      <c r="H124" s="3605"/>
      <c r="I124" s="3606"/>
      <c r="AA124" s="721"/>
    </row>
    <row r="125" spans="1:27" ht="18.75" customHeight="1">
      <c r="A125" s="3603" t="s">
        <v>1452</v>
      </c>
      <c r="B125" s="3603"/>
      <c r="C125" s="3603"/>
      <c r="D125" s="3609" t="e">
        <f>NUMBERSTRING(INT(D124*10000),2)&amp;"元整"</f>
        <v>#VALUE!</v>
      </c>
      <c r="E125" s="3611"/>
      <c r="F125" s="3611"/>
      <c r="G125" s="3611"/>
      <c r="H125" s="3611"/>
      <c r="I125" s="3610"/>
      <c r="AA125" s="721"/>
    </row>
    <row r="126" spans="1:27" ht="18.75" customHeight="1">
      <c r="A126" s="3615" t="str">
        <f>IF(项目基本情况!B9="房地产市场价值","",MID(E111,3,LEN(E111)-2))</f>
        <v/>
      </c>
      <c r="B126" s="3615"/>
      <c r="C126" s="3615"/>
      <c r="D126" s="3604" t="str">
        <f>H111</f>
        <v>——</v>
      </c>
      <c r="E126" s="3605"/>
      <c r="F126" s="3605"/>
      <c r="G126" s="3605"/>
      <c r="H126" s="3605"/>
      <c r="I126" s="3606"/>
      <c r="AA126" s="721"/>
    </row>
    <row r="127" spans="1:27" ht="18.75" customHeight="1">
      <c r="A127" s="3603" t="s">
        <v>1452</v>
      </c>
      <c r="B127" s="3603"/>
      <c r="C127" s="3603"/>
      <c r="D127" s="3609" t="e">
        <f>NUMBERSTRING(INT(D126*10000),2)&amp;"元整"</f>
        <v>#VALUE!</v>
      </c>
      <c r="E127" s="3611"/>
      <c r="F127" s="3611"/>
      <c r="G127" s="3611"/>
      <c r="H127" s="3611"/>
      <c r="I127" s="3610"/>
      <c r="AA127" s="721"/>
    </row>
    <row r="128" spans="1:27" ht="21.75" customHeight="1">
      <c r="A128" s="3612" t="s">
        <v>1453</v>
      </c>
      <c r="B128" s="3612"/>
      <c r="C128" s="3612"/>
      <c r="D128" s="3612"/>
      <c r="E128" s="3612"/>
      <c r="F128" s="3612"/>
      <c r="G128" s="3612"/>
      <c r="H128" s="3612"/>
      <c r="I128" s="3612"/>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160</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5171</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0</v>
      </c>
      <c r="E9" s="222">
        <f>'数据-取费表'!B27</f>
        <v>160</v>
      </c>
      <c r="F9" s="218"/>
      <c r="G9" s="1853"/>
      <c r="H9" s="1133"/>
      <c r="I9" s="1854" t="s">
        <v>1479</v>
      </c>
    </row>
    <row r="10" spans="1:9" s="211" customFormat="1" ht="13.5" customHeight="1">
      <c r="A10" s="775" t="s">
        <v>356</v>
      </c>
      <c r="B10" s="221" t="s">
        <v>1480</v>
      </c>
      <c r="C10" s="222">
        <f ca="1">ROUND(D10*E10/10000,0)</f>
        <v>6</v>
      </c>
      <c r="D10" s="841">
        <f ca="1">IF(B1="",'数据-汇总表'!E6,IF(INDIRECT("'数据-取费表'!c"&amp;$G$1)="住宅",INDIRECT("'数据-取费表'!s"&amp;$G$1),INDIRECT("'数据-取费表'!k"&amp;$G$1)+INDIRECT("'数据-取费表'!s"&amp;$G$1)))</f>
        <v>309.42</v>
      </c>
      <c r="E10" s="222">
        <f>'数据-取费表'!B28</f>
        <v>200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6</v>
      </c>
      <c r="D19" s="845">
        <f ca="1">D9+D10</f>
        <v>309.42</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5.9999999999999995E-4</v>
      </c>
      <c r="E22" s="233" t="s">
        <v>1498</v>
      </c>
      <c r="F22" s="234">
        <f ca="1">'数据-取费表'!B40</f>
        <v>0.03</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5.9999999999999995E-4</v>
      </c>
      <c r="D26" s="235"/>
      <c r="E26" s="238"/>
      <c r="F26" s="236"/>
      <c r="G26" s="240"/>
    </row>
    <row r="27" spans="1:7" s="211" customFormat="1" ht="24.75">
      <c r="A27" s="252" t="s">
        <v>1512</v>
      </c>
      <c r="B27" s="241" t="s">
        <v>1513</v>
      </c>
      <c r="C27" s="242">
        <f ca="1">C28</f>
        <v>1</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1</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8</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138</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124</v>
      </c>
      <c r="D34" s="214"/>
      <c r="E34" s="217"/>
      <c r="F34" s="254">
        <f ca="1">IF('数据-取费表'!B24=0,1,IF(B1="",'数据-取费表'!N16,INDIRECT("'数据-取费表'!n"&amp;$G$1)))</f>
        <v>1</v>
      </c>
      <c r="G34" s="216" t="s">
        <v>1526</v>
      </c>
    </row>
    <row r="35" spans="1:7" ht="13.5" customHeight="1">
      <c r="A35" s="776" t="s">
        <v>351</v>
      </c>
      <c r="B35" s="212" t="s">
        <v>1527</v>
      </c>
      <c r="C35" s="217">
        <f ca="1">ROUND(C34*F35,0)</f>
        <v>6</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6" t="s">
        <v>353</v>
      </c>
      <c r="B37" s="212" t="s">
        <v>1531</v>
      </c>
      <c r="C37" s="246">
        <f ca="1">ROUND(E37*D37*F34/10000,0)</f>
        <v>6</v>
      </c>
      <c r="D37" s="214">
        <f ca="1">D19</f>
        <v>309.42</v>
      </c>
      <c r="E37" s="246">
        <f>'数据-取费表'!B35</f>
        <v>200</v>
      </c>
      <c r="F37" s="256"/>
      <c r="G37" s="258" t="s">
        <v>1532</v>
      </c>
    </row>
    <row r="38" spans="1:7" ht="13.5" customHeight="1">
      <c r="A38" s="776" t="s">
        <v>354</v>
      </c>
      <c r="B38" s="212" t="s">
        <v>1533</v>
      </c>
      <c r="C38" s="217">
        <f ca="1">ROUND(C34*F38,0)</f>
        <v>2</v>
      </c>
      <c r="D38" s="217"/>
      <c r="E38" s="217"/>
      <c r="F38" s="256">
        <f>'数据-取费表'!B36</f>
        <v>0.02</v>
      </c>
      <c r="G38" s="216" t="s">
        <v>1528</v>
      </c>
    </row>
    <row r="39" spans="1:7" s="211" customFormat="1" ht="13.5" customHeight="1">
      <c r="A39" s="252" t="s">
        <v>1534</v>
      </c>
      <c r="B39" s="207" t="s">
        <v>1535</v>
      </c>
      <c r="C39" s="229">
        <f ca="1">ROUND(C33*F20,0)</f>
        <v>4</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4</v>
      </c>
      <c r="D41" s="232">
        <f ca="1">C44</f>
        <v>5.9999999999999995E-4</v>
      </c>
      <c r="E41" s="233" t="s">
        <v>1539</v>
      </c>
      <c r="F41" s="234">
        <f ca="1">F22</f>
        <v>0.03</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4</v>
      </c>
      <c r="D42" s="235"/>
      <c r="E42" s="235"/>
      <c r="F42" s="236"/>
      <c r="G42" s="3682" t="s">
        <v>1544</v>
      </c>
    </row>
    <row r="43" spans="1:7" ht="13.5" customHeight="1">
      <c r="A43" s="776" t="s">
        <v>347</v>
      </c>
      <c r="B43" s="212" t="s">
        <v>1545</v>
      </c>
      <c r="C43" s="235">
        <f ca="1">ROUND(IF('数据-取费表'!B22&lt;=1,C39*F22*'数据-取费表'!B21/2,C39*(POWER((1+F22),'数据-取费表'!B21/2)-1)),0)</f>
        <v>0</v>
      </c>
      <c r="D43" s="235"/>
      <c r="E43" s="235"/>
      <c r="F43" s="236"/>
      <c r="G43" s="3683"/>
    </row>
    <row r="44" spans="1:7" ht="13.5" customHeight="1">
      <c r="A44" s="776" t="s">
        <v>348</v>
      </c>
      <c r="B44" s="212" t="s">
        <v>1546</v>
      </c>
      <c r="C44" s="235">
        <f ca="1">ROUND(IF('数据-取费表'!B22&lt;=1,C40*F22*'数据-取费表'!B21/2,C40*(POWER((1+F22),'数据-取费表'!B21/2)-1)),4)</f>
        <v>5.9999999999999995E-4</v>
      </c>
      <c r="D44" s="235"/>
      <c r="E44" s="235"/>
      <c r="F44" s="236"/>
      <c r="G44" s="3684"/>
    </row>
    <row r="45" spans="1:7" s="211" customFormat="1" ht="13.5" customHeight="1">
      <c r="A45" s="252" t="s">
        <v>1547</v>
      </c>
      <c r="B45" s="241" t="s">
        <v>1513</v>
      </c>
      <c r="C45" s="242">
        <f ca="1">C46</f>
        <v>14</v>
      </c>
      <c r="D45" s="232">
        <f ca="1">C47</f>
        <v>2E-3</v>
      </c>
      <c r="E45" s="233" t="s">
        <v>1539</v>
      </c>
      <c r="F45" s="243">
        <f ca="1">F27</f>
        <v>0.1</v>
      </c>
      <c r="G45" s="244" t="s">
        <v>1548</v>
      </c>
    </row>
    <row r="46" spans="1:7" s="211" customFormat="1" ht="13.5" customHeight="1">
      <c r="A46" s="776" t="s">
        <v>346</v>
      </c>
      <c r="B46" s="245" t="s">
        <v>1549</v>
      </c>
      <c r="C46" s="246">
        <f ca="1">ROUND((C33+C39)*F27,0)</f>
        <v>14</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173</v>
      </c>
      <c r="D49" s="229"/>
      <c r="E49" s="229"/>
      <c r="F49" s="261"/>
      <c r="G49" s="231" t="s">
        <v>1554</v>
      </c>
    </row>
    <row r="50" spans="1:7" s="255" customFormat="1" ht="24">
      <c r="A50" s="252" t="s">
        <v>1555</v>
      </c>
      <c r="B50" s="207" t="s">
        <v>1556</v>
      </c>
      <c r="C50" s="229"/>
      <c r="D50" s="229"/>
      <c r="E50" s="229"/>
      <c r="F50" s="261">
        <f>IF('数据-取费表'!B24=0,'数据-取费表'!N16,1)</f>
        <v>0.88</v>
      </c>
      <c r="G50" s="244" t="s">
        <v>1557</v>
      </c>
    </row>
    <row r="51" spans="1:7" ht="16.5" customHeight="1">
      <c r="A51" s="252" t="s">
        <v>1558</v>
      </c>
      <c r="B51" s="207" t="s">
        <v>1559</v>
      </c>
      <c r="C51" s="229">
        <f ca="1">ROUND(C49*F50,0)</f>
        <v>152</v>
      </c>
      <c r="D51" s="229"/>
      <c r="E51" s="229"/>
      <c r="F51" s="261"/>
      <c r="G51" s="231" t="s">
        <v>1560</v>
      </c>
    </row>
    <row r="52" spans="1:7" s="205" customFormat="1" ht="16.5" thickBot="1">
      <c r="A52" s="262" t="s">
        <v>1561</v>
      </c>
      <c r="B52" s="263"/>
      <c r="C52" s="264">
        <f ca="1">C31+C51</f>
        <v>160</v>
      </c>
      <c r="D52" s="263"/>
      <c r="E52" s="263"/>
      <c r="F52" s="263"/>
      <c r="G52" s="265"/>
    </row>
    <row r="55" spans="1:7" ht="15">
      <c r="B55" s="267" t="s">
        <v>1562</v>
      </c>
      <c r="C55" s="268"/>
    </row>
    <row r="56" spans="1:7">
      <c r="B56" s="270" t="s">
        <v>802</v>
      </c>
      <c r="C56" s="272">
        <f ca="1">1-C57</f>
        <v>5.0000000000000044E-2</v>
      </c>
    </row>
    <row r="57" spans="1:7">
      <c r="B57" s="270" t="s">
        <v>803</v>
      </c>
      <c r="C57" s="271">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9" t="str">
        <f>项目基本情况!B1</f>
        <v>北京市大兴区马朱路长子营段16号院17号楼3层301生产车间用房房地产抵押价值预评估</v>
      </c>
      <c r="C37" s="3499"/>
      <c r="D37" s="3499"/>
      <c r="E37" s="3499"/>
      <c r="F37" s="3499"/>
      <c r="G37" s="3499"/>
      <c r="H37" s="3499"/>
      <c r="I37" s="349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6"/>
      <c r="C1" s="1855" t="s">
        <v>1563</v>
      </c>
      <c r="D1" s="195"/>
      <c r="E1" s="195"/>
      <c r="F1" s="195"/>
      <c r="G1" s="1122">
        <f>MATCH(B1,'数据-取费表'!A6:A16,0)+5</f>
        <v>7</v>
      </c>
      <c r="H1" s="1057" t="str">
        <f>IF(ISERROR(FIND("住宅",B1)),"非住宅","住宅")</f>
        <v>非住宅</v>
      </c>
    </row>
    <row r="2" spans="1:8" s="197" customFormat="1" ht="18" customHeight="1">
      <c r="A2" s="198" t="s">
        <v>1462</v>
      </c>
      <c r="B2" s="3420">
        <f ca="1">ROUND(IF(D2="——",C52/10000,C52/10000-E2),4)</f>
        <v>169.47790000000001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5477</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61884</v>
      </c>
      <c r="D5" s="208" t="s">
        <v>1469</v>
      </c>
      <c r="E5" s="209" t="s">
        <v>1470</v>
      </c>
      <c r="F5" s="209" t="s">
        <v>1471</v>
      </c>
      <c r="G5" s="210"/>
    </row>
    <row r="6" spans="1:8" s="211" customFormat="1" ht="13.5" customHeight="1">
      <c r="A6" s="774" t="s">
        <v>1472</v>
      </c>
      <c r="B6" s="212" t="s">
        <v>1473</v>
      </c>
      <c r="C6" s="213"/>
      <c r="D6" s="214"/>
      <c r="E6" s="215"/>
      <c r="F6" s="215"/>
      <c r="G6" s="216"/>
    </row>
    <row r="7" spans="1:8" s="211" customFormat="1" ht="13.5" customHeight="1">
      <c r="A7" s="774" t="s">
        <v>1474</v>
      </c>
      <c r="B7" s="212" t="s">
        <v>1475</v>
      </c>
      <c r="C7" s="217">
        <f>ROUND(C6*F7,0)</f>
        <v>0</v>
      </c>
      <c r="D7" s="217"/>
      <c r="E7" s="215"/>
      <c r="F7" s="218">
        <f>IF(项目基本情况!B8="出让",0,'数据-取费表'!B48+'数据-取费表'!B49)</f>
        <v>3.0499999999999999E-2</v>
      </c>
      <c r="G7" s="216"/>
    </row>
    <row r="8" spans="1:8" s="220" customFormat="1">
      <c r="A8" s="774" t="s">
        <v>1476</v>
      </c>
      <c r="B8" s="212" t="s">
        <v>1477</v>
      </c>
      <c r="C8" s="217">
        <f ca="1">IF(G8="已包含在土地购买价格中",0,C9+C10)</f>
        <v>61884</v>
      </c>
      <c r="D8" s="219"/>
      <c r="E8" s="217"/>
      <c r="F8" s="218"/>
      <c r="G8" s="1852"/>
    </row>
    <row r="9" spans="1:8" s="211" customFormat="1" ht="13.5" customHeight="1">
      <c r="A9" s="775" t="s">
        <v>355</v>
      </c>
      <c r="B9" s="221" t="s">
        <v>1478</v>
      </c>
      <c r="C9" s="222">
        <f ca="1">ROUND(D9*E9,0)</f>
        <v>0</v>
      </c>
      <c r="D9" s="841">
        <f ca="1">IF(B1="",'数据-汇总表'!E5,IF(INDIRECT("'数据-取费表'!c"&amp;$G$1)="住宅",INDIRECT("'数据-取费表'!k"&amp;$G$1),0))</f>
        <v>0</v>
      </c>
      <c r="E9" s="222">
        <f>'数据-取费表'!B27</f>
        <v>160</v>
      </c>
      <c r="F9" s="218"/>
      <c r="G9" s="223"/>
    </row>
    <row r="10" spans="1:8" s="211" customFormat="1" ht="13.5" customHeight="1">
      <c r="A10" s="775" t="s">
        <v>356</v>
      </c>
      <c r="B10" s="221" t="s">
        <v>1480</v>
      </c>
      <c r="C10" s="222">
        <f ca="1">ROUND(D10*E10,0)</f>
        <v>61884</v>
      </c>
      <c r="D10" s="841">
        <f ca="1">IF(B1="",'数据-汇总表'!E6,IF(INDIRECT("'数据-取费表'!c"&amp;$G$1)="住宅",INDIRECT("'数据-取费表'!s"&amp;$G$1),INDIRECT("'数据-取费表'!k"&amp;$G$1)+INDIRECT("'数据-取费表'!s"&amp;$G$1)))</f>
        <v>309.42</v>
      </c>
      <c r="E10" s="222">
        <f>'数据-取费表'!B28</f>
        <v>200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f ca="1">IF(G19="已包含在土地取得成本中","0",ROUND(D19*E19,0))</f>
        <v>61884</v>
      </c>
      <c r="D19" s="845">
        <f ca="1">D9+D10</f>
        <v>309.42</v>
      </c>
      <c r="E19" s="208">
        <f>'数据-取费表'!B31</f>
        <v>200</v>
      </c>
      <c r="F19" s="228"/>
      <c r="G19" s="1852"/>
    </row>
    <row r="20" spans="1:7" s="211" customFormat="1" ht="13.5" customHeight="1">
      <c r="A20" s="252" t="s">
        <v>1574</v>
      </c>
      <c r="B20" s="207" t="s">
        <v>1575</v>
      </c>
      <c r="C20" s="229">
        <f ca="1">ROUND((C5+C19)*F20,0)</f>
        <v>3713</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7649</v>
      </c>
      <c r="D22" s="232">
        <f ca="1">C26</f>
        <v>5.9999999999999995E-4</v>
      </c>
      <c r="E22" s="233" t="s">
        <v>1579</v>
      </c>
      <c r="F22" s="234">
        <f ca="1">'数据-取费表'!B40</f>
        <v>0.03</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3769</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3769</v>
      </c>
      <c r="D24" s="235"/>
      <c r="E24" s="235"/>
      <c r="F24" s="236"/>
      <c r="G24" s="237" t="s">
        <v>1586</v>
      </c>
    </row>
    <row r="25" spans="1:7" s="211" customFormat="1" ht="24">
      <c r="A25" s="776" t="s">
        <v>1476</v>
      </c>
      <c r="B25" s="212" t="s">
        <v>1587</v>
      </c>
      <c r="C25" s="1124">
        <f ca="1">ROUND(IF('数据-取费表'!B22&lt;=1,C20*F22*'数据-取费表'!B22/2,C20*(POWER((1+F22),'数据-取费表'!B22/2)-1)),0)</f>
        <v>111</v>
      </c>
      <c r="D25" s="235"/>
      <c r="E25" s="238"/>
      <c r="F25" s="236"/>
      <c r="G25" s="239" t="s">
        <v>1588</v>
      </c>
    </row>
    <row r="26" spans="1:7" s="211" customFormat="1">
      <c r="A26" s="776" t="s">
        <v>350</v>
      </c>
      <c r="B26" s="212" t="s">
        <v>1511</v>
      </c>
      <c r="C26" s="235">
        <f ca="1">ROUND(IF('数据-取费表'!B22&lt;=1,F21*F22*'数据-取费表'!B22/2,F21*(POWER((1+F22),'数据-取费表'!B22/2)-1)),4)</f>
        <v>5.9999999999999995E-4</v>
      </c>
      <c r="D26" s="235"/>
      <c r="E26" s="238"/>
      <c r="F26" s="236"/>
      <c r="G26" s="240"/>
    </row>
    <row r="27" spans="1:7" s="211" customFormat="1" ht="24.75">
      <c r="A27" s="252" t="s">
        <v>1512</v>
      </c>
      <c r="B27" s="241" t="s">
        <v>1513</v>
      </c>
      <c r="C27" s="242">
        <f ca="1">C28</f>
        <v>12748</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12748</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159868</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1386202</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1237680</v>
      </c>
      <c r="D34" s="214"/>
      <c r="E34" s="217"/>
      <c r="F34" s="254"/>
      <c r="G34" s="216"/>
    </row>
    <row r="35" spans="1:7" ht="13.5" customHeight="1">
      <c r="A35" s="776" t="s">
        <v>351</v>
      </c>
      <c r="B35" s="212" t="s">
        <v>1527</v>
      </c>
      <c r="C35" s="217">
        <f ca="1">ROUND(C34*F35,0)</f>
        <v>61884</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6" t="s">
        <v>353</v>
      </c>
      <c r="B37" s="212" t="s">
        <v>1531</v>
      </c>
      <c r="C37" s="246">
        <f ca="1">ROUND(E37*D37,0)</f>
        <v>61884</v>
      </c>
      <c r="D37" s="214">
        <f ca="1">D19</f>
        <v>309.42</v>
      </c>
      <c r="E37" s="246">
        <f>'数据-取费表'!B35</f>
        <v>200</v>
      </c>
      <c r="F37" s="256"/>
      <c r="G37" s="258"/>
    </row>
    <row r="38" spans="1:7" ht="13.5" customHeight="1">
      <c r="A38" s="776" t="s">
        <v>354</v>
      </c>
      <c r="B38" s="212" t="s">
        <v>1533</v>
      </c>
      <c r="C38" s="217">
        <f ca="1">ROUND(C34*F38,0)</f>
        <v>24754</v>
      </c>
      <c r="D38" s="217"/>
      <c r="E38" s="217"/>
      <c r="F38" s="256">
        <f>'数据-取费表'!B36</f>
        <v>0.02</v>
      </c>
      <c r="G38" s="216" t="s">
        <v>1528</v>
      </c>
    </row>
    <row r="39" spans="1:7" s="211" customFormat="1" ht="13.5" customHeight="1">
      <c r="A39" s="252" t="s">
        <v>1534</v>
      </c>
      <c r="B39" s="207" t="s">
        <v>1535</v>
      </c>
      <c r="C39" s="229">
        <f ca="1">ROUND(C33*F20,0)</f>
        <v>41586</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42834</v>
      </c>
      <c r="D41" s="232">
        <f ca="1">C44</f>
        <v>5.9999999999999995E-4</v>
      </c>
      <c r="E41" s="233" t="s">
        <v>1539</v>
      </c>
      <c r="F41" s="234">
        <f ca="1">F22</f>
        <v>0.03</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41586</v>
      </c>
      <c r="D42" s="235"/>
      <c r="E42" s="235"/>
      <c r="F42" s="236"/>
      <c r="G42" s="3682" t="s">
        <v>1591</v>
      </c>
    </row>
    <row r="43" spans="1:7" ht="13.5" customHeight="1">
      <c r="A43" s="776" t="s">
        <v>347</v>
      </c>
      <c r="B43" s="212" t="s">
        <v>1545</v>
      </c>
      <c r="C43" s="235">
        <f ca="1">ROUND(IF('数据-取费表'!B22&lt;=1,C39*F22*'数据-取费表'!B20/2,C39*(POWER((1+F22),'数据-取费表'!B20/2)-1)),0)</f>
        <v>1248</v>
      </c>
      <c r="D43" s="235"/>
      <c r="E43" s="235"/>
      <c r="F43" s="236"/>
      <c r="G43" s="3683"/>
    </row>
    <row r="44" spans="1:7" ht="13.5" customHeight="1">
      <c r="A44" s="776" t="s">
        <v>348</v>
      </c>
      <c r="B44" s="212" t="s">
        <v>1546</v>
      </c>
      <c r="C44" s="235">
        <f ca="1">ROUND(IF('数据-取费表'!B22&lt;=1,C40*F22*'数据-取费表'!B20/2,C40*(POWER((1+F22),'数据-取费表'!B20/2)-1)),4)</f>
        <v>5.9999999999999995E-4</v>
      </c>
      <c r="D44" s="235"/>
      <c r="E44" s="235"/>
      <c r="F44" s="236"/>
      <c r="G44" s="3684"/>
    </row>
    <row r="45" spans="1:7" s="211" customFormat="1" ht="13.5" customHeight="1">
      <c r="A45" s="252" t="s">
        <v>1547</v>
      </c>
      <c r="B45" s="241" t="s">
        <v>1513</v>
      </c>
      <c r="C45" s="242">
        <f ca="1">C46</f>
        <v>142779</v>
      </c>
      <c r="D45" s="232">
        <f ca="1">C47</f>
        <v>2E-3</v>
      </c>
      <c r="E45" s="233" t="s">
        <v>1539</v>
      </c>
      <c r="F45" s="243">
        <f ca="1">F27</f>
        <v>0.1</v>
      </c>
      <c r="G45" s="244" t="s">
        <v>1548</v>
      </c>
    </row>
    <row r="46" spans="1:7" s="211" customFormat="1" ht="13.5" customHeight="1">
      <c r="A46" s="776" t="s">
        <v>346</v>
      </c>
      <c r="B46" s="245" t="s">
        <v>1549</v>
      </c>
      <c r="C46" s="246">
        <f ca="1">ROUND((C33+C39)*F27,0)</f>
        <v>142779</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1744217</v>
      </c>
      <c r="D49" s="229"/>
      <c r="E49" s="229"/>
      <c r="F49" s="261"/>
      <c r="G49" s="231" t="s">
        <v>1554</v>
      </c>
    </row>
    <row r="50" spans="1:7" s="255" customFormat="1">
      <c r="A50" s="252" t="s">
        <v>1555</v>
      </c>
      <c r="B50" s="207" t="s">
        <v>1556</v>
      </c>
      <c r="C50" s="229"/>
      <c r="D50" s="229"/>
      <c r="E50" s="229"/>
      <c r="F50" s="261">
        <f>IF('数据-取费表'!B24=0,'数据-取费表'!N16,1)</f>
        <v>0.88</v>
      </c>
      <c r="G50" s="244"/>
    </row>
    <row r="51" spans="1:7" ht="16.5" customHeight="1">
      <c r="A51" s="252" t="s">
        <v>1558</v>
      </c>
      <c r="B51" s="207" t="s">
        <v>1593</v>
      </c>
      <c r="C51" s="229">
        <f ca="1">ROUND(C49*F50,0)</f>
        <v>1534911</v>
      </c>
      <c r="D51" s="229"/>
      <c r="E51" s="229"/>
      <c r="F51" s="261"/>
      <c r="G51" s="231" t="s">
        <v>1560</v>
      </c>
    </row>
    <row r="52" spans="1:7" s="205" customFormat="1" ht="16.5" thickBot="1">
      <c r="A52" s="262" t="s">
        <v>1561</v>
      </c>
      <c r="B52" s="263"/>
      <c r="C52" s="264">
        <f ca="1">C31+C51</f>
        <v>1694779</v>
      </c>
      <c r="D52" s="263"/>
      <c r="E52" s="263"/>
      <c r="F52" s="263"/>
      <c r="G52" s="265"/>
    </row>
    <row r="55" spans="1:7" ht="15">
      <c r="B55" s="267" t="s">
        <v>1562</v>
      </c>
      <c r="C55" s="268"/>
    </row>
    <row r="56" spans="1:7">
      <c r="B56" s="270" t="s">
        <v>802</v>
      </c>
      <c r="C56" s="272">
        <f ca="1">1-C57</f>
        <v>9.3999999999999972E-2</v>
      </c>
    </row>
    <row r="57" spans="1:7">
      <c r="B57" s="270" t="s">
        <v>803</v>
      </c>
      <c r="C57" s="271">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802"/>
      <c r="F1" s="2802"/>
      <c r="G1" s="2667"/>
      <c r="H1" s="2802"/>
      <c r="I1" s="2802"/>
      <c r="J1" s="2802"/>
      <c r="K1" s="2803">
        <f>MATCH(C1,'数据-取费表'!A6:A16,0)+5</f>
        <v>7</v>
      </c>
    </row>
    <row r="2" spans="1:33" ht="18" customHeight="1">
      <c r="A2" s="198" t="s">
        <v>1462</v>
      </c>
      <c r="B2" s="201">
        <f ca="1">C32</f>
        <v>-7</v>
      </c>
      <c r="C2" s="273" t="s">
        <v>1595</v>
      </c>
      <c r="D2" s="273"/>
      <c r="E2" s="2802"/>
      <c r="F2" s="2802"/>
      <c r="G2" s="2802"/>
      <c r="H2" s="2802"/>
      <c r="I2" s="2802"/>
      <c r="J2" s="2802"/>
      <c r="K2" s="2802"/>
    </row>
    <row r="3" spans="1:33" ht="18" customHeight="1" thickBot="1">
      <c r="A3" s="200" t="s">
        <v>1464</v>
      </c>
      <c r="B3" s="201">
        <f ca="1">ROUND(B2*10000/IF(C1="",'数据-汇总表'!E3,INDIRECT("'数据-取费表'!K"&amp;$K$1)),0)</f>
        <v>-226</v>
      </c>
      <c r="C3" s="273" t="s">
        <v>1596</v>
      </c>
      <c r="D3" s="273"/>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309.42</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28"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309.42</v>
      </c>
      <c r="E17" s="21">
        <f>'数据-取费表'!B32</f>
        <v>0</v>
      </c>
      <c r="F17" s="802"/>
      <c r="G17" s="128"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6</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6</v>
      </c>
      <c r="D20" s="842">
        <f ca="1">IF(C1="",'数据-汇总表'!E6,IF(INDIRECT("'数据-取费表'!c"&amp;$K$1)="住宅",INDIRECT("'数据-取费表'!s"&amp;$K$1),INDIRECT("'数据-取费表'!k"&amp;$K$1)+INDIRECT("'数据-取费表'!s"&amp;$K$1)))</f>
        <v>309.42</v>
      </c>
      <c r="E20" s="21">
        <f>'数据-取费表'!B28</f>
        <v>200</v>
      </c>
      <c r="F20" s="800"/>
      <c r="G20" s="12"/>
      <c r="H20" s="805"/>
      <c r="I20" s="805"/>
      <c r="J20" s="805"/>
      <c r="K20" s="806"/>
    </row>
    <row r="21" spans="1:33" s="799" customFormat="1" ht="13.5" customHeight="1">
      <c r="A21" s="786" t="s">
        <v>357</v>
      </c>
      <c r="B21" s="809" t="s">
        <v>1628</v>
      </c>
      <c r="C21" s="810">
        <f ca="1">C16+C17+C18</f>
        <v>6</v>
      </c>
      <c r="D21" s="811"/>
      <c r="E21" s="278"/>
      <c r="F21" s="278"/>
      <c r="G21" s="128"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0.03</v>
      </c>
      <c r="G25" s="128"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1</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8" t="s">
        <v>1644</v>
      </c>
      <c r="H29" s="803"/>
      <c r="I29" s="803"/>
      <c r="J29" s="803"/>
      <c r="K29" s="804"/>
    </row>
    <row r="30" spans="1:33" s="288" customFormat="1" ht="13.5" customHeight="1">
      <c r="A30" s="796" t="s">
        <v>359</v>
      </c>
      <c r="B30" s="818" t="s">
        <v>1645</v>
      </c>
      <c r="C30" s="289">
        <f ca="1">ROUND((C21+C22+C23)*F28,0)</f>
        <v>1</v>
      </c>
      <c r="D30" s="281"/>
      <c r="E30" s="282"/>
      <c r="F30" s="287"/>
      <c r="G30" s="128"/>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-7</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687" t="s">
        <v>694</v>
      </c>
      <c r="C6" s="1070">
        <f ca="1">ROUND(F6*F8*F7*(1-F9)/10000,0)</f>
        <v>0</v>
      </c>
      <c r="D6" s="152" t="s">
        <v>2109</v>
      </c>
      <c r="E6" s="299" t="s">
        <v>696</v>
      </c>
      <c r="F6" s="300">
        <f ca="1">INDIRECT("'数据-取费表'!u"&amp;$G$1)</f>
        <v>0</v>
      </c>
      <c r="G6" s="1380"/>
      <c r="H6" s="1065" t="s">
        <v>398</v>
      </c>
      <c r="I6" s="3687" t="s">
        <v>694</v>
      </c>
      <c r="J6" s="298">
        <f ca="1">ROUND(M6*M8*M7*(1-M9)/10000,0)</f>
        <v>0</v>
      </c>
      <c r="K6" s="152" t="s">
        <v>2108</v>
      </c>
      <c r="L6" s="299" t="s">
        <v>696</v>
      </c>
      <c r="M6" s="300">
        <f ca="1">INDIRECT("'数据-取费表'!z"&amp;$G$1)</f>
        <v>0</v>
      </c>
    </row>
    <row r="7" spans="1:37" ht="18" customHeight="1">
      <c r="A7" s="1069"/>
      <c r="B7" s="3688"/>
      <c r="C7" s="1071"/>
      <c r="D7" s="304"/>
      <c r="E7" s="1072" t="s">
        <v>697</v>
      </c>
      <c r="F7" s="300">
        <f ca="1">IF(INDIRECT("'数据-取费表'!ah"&amp;$G$1)="",INDIRECT("'数据-取费表'!k"&amp;$G$1),INDIRECT("'数据-取费表'!ah"&amp;$G$1))</f>
        <v>0</v>
      </c>
      <c r="G7" s="1380"/>
      <c r="H7" s="301"/>
      <c r="I7" s="3688"/>
      <c r="J7" s="303"/>
      <c r="K7" s="304"/>
      <c r="L7" s="299" t="s">
        <v>697</v>
      </c>
      <c r="M7" s="300">
        <f ca="1">F7</f>
        <v>0</v>
      </c>
    </row>
    <row r="8" spans="1:37" ht="18" customHeight="1">
      <c r="A8" s="301"/>
      <c r="B8" s="3688"/>
      <c r="C8" s="303"/>
      <c r="D8" s="304"/>
      <c r="E8" s="299" t="s">
        <v>698</v>
      </c>
      <c r="F8" s="300">
        <f ca="1">INDIRECT("'数据-取费表'!ai"&amp;$G$1)</f>
        <v>0</v>
      </c>
      <c r="G8" s="1380"/>
      <c r="H8" s="301"/>
      <c r="I8" s="3688"/>
      <c r="J8" s="303"/>
      <c r="K8" s="304"/>
      <c r="L8" s="299" t="s">
        <v>698</v>
      </c>
      <c r="M8" s="300">
        <f ca="1">INDIRECT("'数据-取费表'!ai"&amp;$G$1)</f>
        <v>0</v>
      </c>
    </row>
    <row r="9" spans="1:37" ht="18" customHeight="1">
      <c r="A9" s="301"/>
      <c r="B9" s="3689"/>
      <c r="C9" s="303"/>
      <c r="D9" s="304"/>
      <c r="E9" s="299" t="s">
        <v>699</v>
      </c>
      <c r="F9" s="309">
        <f ca="1">INDIRECT("'数据-取费表'!w"&amp;$G$1)</f>
        <v>0</v>
      </c>
      <c r="G9" s="1380"/>
      <c r="H9" s="301"/>
      <c r="I9" s="3689"/>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IF(K19="按租金收入计税",ROUND(J6*M19/(1+'数据-取费表'!C42),2),ROUND(C29*M19*0.7,2))</f>
        <v>0</v>
      </c>
      <c r="K19" s="1366" t="s">
        <v>3336</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5.9999999999999995E-4</v>
      </c>
      <c r="D24" s="326" t="str">
        <f>IF(F23&lt;=1,"销售费用×利率×(建设周期÷2)","销售费用×((1+利率)^(建设周期÷2)-1)")</f>
        <v>销售费用×((1+利率)^(建设周期÷2)-1)</v>
      </c>
      <c r="E24" s="299" t="s">
        <v>747</v>
      </c>
      <c r="F24" s="328">
        <f ca="1">'数据-取费表'!B40</f>
        <v>0.03</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2306</v>
      </c>
      <c r="I31" s="1394"/>
      <c r="J31" s="1395"/>
      <c r="K31" s="2471"/>
      <c r="L31" s="2694"/>
      <c r="M31" s="2695"/>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3336</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0</v>
      </c>
      <c r="D34" s="321" t="s">
        <v>731</v>
      </c>
      <c r="E34" s="299" t="s">
        <v>732</v>
      </c>
      <c r="F34" s="322">
        <f>'数据-取费表'!B52</f>
        <v>0</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ROUND(C29*F36,2)</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ROUND(C13*F37,2)</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4">
        <f ca="1">IF(M47="住宅",IF(D1="——",MAX(J51,L48),MAX(J51,L48-'数据-取费表'!B24)),IF(D1="——",MIN(J51,L48),MIN(J51,L48-'数据-取费表'!B24)))</f>
        <v>0</v>
      </c>
      <c r="K53" s="3685" t="s">
        <v>837</v>
      </c>
      <c r="L53" s="368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3336</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90" zoomScaleNormal="60" zoomScaleSheetLayoutView="90" workbookViewId="0">
      <selection activeCell="E38" sqref="E3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1826</v>
      </c>
      <c r="C1" s="1220" t="s">
        <v>1662</v>
      </c>
      <c r="D1" s="1221" t="s">
        <v>3</v>
      </c>
      <c r="E1" s="3429" t="s">
        <v>3440</v>
      </c>
      <c r="F1" s="1875" t="s">
        <v>3441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f>IF(E1="项目模式",IF(C2="——",ROUND(C43*D3/10000,0),ROUND(C43*D3/10000,0)-D2),IF(E1="单套模式",IF(C2="——",ROUND(C43*D3/10000,4),ROUND(C43*D3/10000,4)-D2)))</f>
        <v>342.49700000000001</v>
      </c>
      <c r="C2" s="1877" t="s">
        <v>43</v>
      </c>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11069</v>
      </c>
      <c r="C3" s="351" t="s">
        <v>1768</v>
      </c>
      <c r="D3" s="350">
        <f>IF(D1="",'数据-汇总表'!E3,SUMIF('数据-汇总表'!$C19:$C33,D1,'数据-汇总表'!$E19:$E33))</f>
        <v>309.42</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06" t="s">
        <v>1770</v>
      </c>
      <c r="D4" s="3707"/>
      <c r="E4" s="3708" t="s">
        <v>1771</v>
      </c>
      <c r="F4" s="3709"/>
      <c r="G4" s="3706" t="s">
        <v>1772</v>
      </c>
      <c r="H4" s="3707"/>
      <c r="I4" s="3706" t="s">
        <v>1773</v>
      </c>
      <c r="J4" s="3707"/>
      <c r="K4" s="556" t="s">
        <v>1774</v>
      </c>
      <c r="L4" s="909"/>
      <c r="M4" s="910"/>
      <c r="N4" s="910"/>
      <c r="O4" s="910"/>
      <c r="P4" s="3710" t="s">
        <v>1775</v>
      </c>
      <c r="Q4" s="3711"/>
      <c r="R4" s="3695" t="s">
        <v>1771</v>
      </c>
      <c r="S4" s="3696"/>
      <c r="T4" s="3695" t="s">
        <v>1772</v>
      </c>
      <c r="U4" s="3696"/>
      <c r="V4" s="3718" t="s">
        <v>1773</v>
      </c>
      <c r="W4" s="3718"/>
      <c r="X4" s="1351"/>
      <c r="Y4" s="3695" t="s">
        <v>1775</v>
      </c>
      <c r="Z4" s="3696"/>
      <c r="AA4" s="3690" t="s">
        <v>1771</v>
      </c>
      <c r="AB4" s="3691" t="s">
        <v>1772</v>
      </c>
      <c r="AC4" s="3690" t="s">
        <v>1773</v>
      </c>
    </row>
    <row r="5" spans="1:29" ht="15">
      <c r="A5" s="355"/>
      <c r="B5" s="356"/>
      <c r="C5" s="3699" t="s">
        <v>3442</v>
      </c>
      <c r="D5" s="3700"/>
      <c r="E5" s="3699" t="s">
        <v>3443</v>
      </c>
      <c r="F5" s="3700"/>
      <c r="G5" s="3699" t="s">
        <v>3444</v>
      </c>
      <c r="H5" s="3700"/>
      <c r="I5" s="3699" t="s">
        <v>3442</v>
      </c>
      <c r="J5" s="3700"/>
      <c r="K5" s="556"/>
      <c r="L5" s="909"/>
      <c r="M5" s="910"/>
      <c r="N5" s="910"/>
      <c r="O5" s="910"/>
      <c r="P5" s="3712"/>
      <c r="Q5" s="3713"/>
      <c r="R5" s="3697"/>
      <c r="S5" s="3698"/>
      <c r="T5" s="3697"/>
      <c r="U5" s="3698"/>
      <c r="V5" s="3718"/>
      <c r="W5" s="3718"/>
      <c r="X5" s="1351"/>
      <c r="Y5" s="3697"/>
      <c r="Z5" s="3698"/>
      <c r="AA5" s="3691"/>
      <c r="AB5" s="3691"/>
      <c r="AC5" s="3691"/>
    </row>
    <row r="6" spans="1:29" ht="15.75" thickBot="1">
      <c r="A6" s="357"/>
      <c r="B6" s="358"/>
      <c r="C6" s="3701" t="s">
        <v>1677</v>
      </c>
      <c r="D6" s="3702"/>
      <c r="E6" s="3703" t="s">
        <v>1677</v>
      </c>
      <c r="F6" s="3704"/>
      <c r="G6" s="3701" t="s">
        <v>1677</v>
      </c>
      <c r="H6" s="3702"/>
      <c r="I6" s="3701" t="s">
        <v>1677</v>
      </c>
      <c r="J6" s="3702"/>
      <c r="K6" s="556" t="s">
        <v>1678</v>
      </c>
      <c r="L6" s="909"/>
      <c r="M6" s="910"/>
      <c r="N6" s="910"/>
      <c r="O6" s="910"/>
      <c r="P6" s="3714"/>
      <c r="Q6" s="3715"/>
      <c r="R6" s="3697"/>
      <c r="S6" s="3698"/>
      <c r="T6" s="3716"/>
      <c r="U6" s="3717"/>
      <c r="V6" s="3718"/>
      <c r="W6" s="3718"/>
      <c r="X6" s="1351"/>
      <c r="Y6" s="3716"/>
      <c r="Z6" s="3717"/>
      <c r="AA6" s="3692"/>
      <c r="AB6" s="3692"/>
      <c r="AC6" s="3692"/>
    </row>
    <row r="7" spans="1:29" s="108" customFormat="1" ht="15.75" thickBot="1">
      <c r="A7" s="359" t="s">
        <v>1679</v>
      </c>
      <c r="B7" s="360"/>
      <c r="C7" s="361">
        <f>'数据-取费表'!B2</f>
        <v>45888</v>
      </c>
      <c r="D7" s="362">
        <v>100</v>
      </c>
      <c r="E7" s="363">
        <f>C7</f>
        <v>45888</v>
      </c>
      <c r="F7" s="364">
        <f>SUMIF(52:52,YEAR(E7)&amp;"-"&amp;MONTH(E7),53:53)</f>
        <v>100</v>
      </c>
      <c r="G7" s="363">
        <f>C7</f>
        <v>45888</v>
      </c>
      <c r="H7" s="362">
        <f>SUMIF(52:52,YEAR(G7)&amp;"-"&amp;MONTH(G7),53:53)</f>
        <v>100</v>
      </c>
      <c r="I7" s="363">
        <f>C7</f>
        <v>45888</v>
      </c>
      <c r="J7" s="362">
        <f>SUMIF(52:52,YEAR(I7)&amp;"-"&amp;MONTH(I7),53:53)</f>
        <v>100</v>
      </c>
      <c r="K7" s="557"/>
      <c r="L7" s="911"/>
      <c r="M7" s="912"/>
      <c r="N7" s="912"/>
      <c r="O7" s="912"/>
      <c r="P7" s="3693" t="s">
        <v>1680</v>
      </c>
      <c r="Q7" s="3719"/>
      <c r="R7" s="697" t="s">
        <v>14</v>
      </c>
      <c r="S7" s="698">
        <f t="shared" ref="S7:S15" si="0">F7</f>
        <v>100</v>
      </c>
      <c r="T7" s="697" t="s">
        <v>14</v>
      </c>
      <c r="U7" s="698">
        <f t="shared" ref="U7:U15" si="1">H7</f>
        <v>100</v>
      </c>
      <c r="V7" s="697" t="s">
        <v>14</v>
      </c>
      <c r="W7" s="698">
        <f t="shared" ref="W7:W15" si="2">J7</f>
        <v>100</v>
      </c>
      <c r="X7" s="699"/>
      <c r="Y7" s="3693" t="s">
        <v>1680</v>
      </c>
      <c r="Z7" s="3694"/>
      <c r="AA7" s="700">
        <f>D7/F7</f>
        <v>1</v>
      </c>
      <c r="AB7" s="700">
        <f>D7/H7</f>
        <v>1</v>
      </c>
      <c r="AC7" s="700">
        <f>D7/J7</f>
        <v>1</v>
      </c>
    </row>
    <row r="8" spans="1:29" s="108" customFormat="1" ht="15.75" thickBot="1">
      <c r="A8" s="359" t="s">
        <v>1681</v>
      </c>
      <c r="B8" s="360"/>
      <c r="C8" s="365" t="s">
        <v>3445</v>
      </c>
      <c r="D8" s="362">
        <v>100</v>
      </c>
      <c r="E8" s="365" t="s">
        <v>3455</v>
      </c>
      <c r="F8" s="364">
        <f>SUMIF(55:55,E8,56:56)-SUMIF(55:55,C8,56:56)+100</f>
        <v>105</v>
      </c>
      <c r="G8" s="365" t="s">
        <v>3455</v>
      </c>
      <c r="H8" s="362">
        <f>SUMIF(55:55,G8,56:56)-SUMIF(55:55,C8,56:56)+100</f>
        <v>105</v>
      </c>
      <c r="I8" s="365" t="s">
        <v>3455</v>
      </c>
      <c r="J8" s="362">
        <f>SUMIF(55:55,I8,56:56)-SUMIF(55:55,C8,56:56)+100</f>
        <v>105</v>
      </c>
      <c r="K8" s="557"/>
      <c r="L8" s="911"/>
      <c r="M8" s="912"/>
      <c r="N8" s="912"/>
      <c r="O8" s="912"/>
      <c r="P8" s="3693" t="s">
        <v>1683</v>
      </c>
      <c r="Q8" s="3694"/>
      <c r="R8" s="697" t="s">
        <v>14</v>
      </c>
      <c r="S8" s="698">
        <f t="shared" si="0"/>
        <v>105</v>
      </c>
      <c r="T8" s="697" t="s">
        <v>14</v>
      </c>
      <c r="U8" s="698">
        <f t="shared" si="1"/>
        <v>105</v>
      </c>
      <c r="V8" s="697" t="s">
        <v>14</v>
      </c>
      <c r="W8" s="698">
        <f t="shared" si="2"/>
        <v>105</v>
      </c>
      <c r="X8" s="699"/>
      <c r="Y8" s="3693" t="s">
        <v>1683</v>
      </c>
      <c r="Z8" s="3694"/>
      <c r="AA8" s="700">
        <f t="shared" ref="AA8:AA40" si="3">D8/F8</f>
        <v>0.95238095238095233</v>
      </c>
      <c r="AB8" s="700">
        <f t="shared" ref="AB8:AB40" si="4">D8/H8</f>
        <v>0.95238095238095233</v>
      </c>
      <c r="AC8" s="700">
        <f t="shared" ref="AC8:AC40" si="5">D8/J8</f>
        <v>0.95238095238095233</v>
      </c>
    </row>
    <row r="9" spans="1:29" s="108" customFormat="1">
      <c r="A9" s="366" t="s">
        <v>1684</v>
      </c>
      <c r="B9" s="63" t="s">
        <v>1685</v>
      </c>
      <c r="C9" s="3479" t="s">
        <v>3446</v>
      </c>
      <c r="D9" s="123">
        <v>100</v>
      </c>
      <c r="E9" s="370" t="s">
        <v>3</v>
      </c>
      <c r="F9" s="123">
        <f>SUMIF(57:57,E9,58:58)-SUMIF(57:57,C9,58:58)+100</f>
        <v>100</v>
      </c>
      <c r="G9" s="370" t="s">
        <v>3</v>
      </c>
      <c r="H9" s="123">
        <f>SUMIF(57:57,G9,58:58)-SUMIF(57:57,C9,58:58)+100</f>
        <v>100</v>
      </c>
      <c r="I9" s="370" t="s">
        <v>3</v>
      </c>
      <c r="J9" s="123">
        <f>SUMIF(57:57,I9,58:58)-SUMIF(57:57,C9,58:58)+100</f>
        <v>100</v>
      </c>
      <c r="K9" s="557"/>
      <c r="L9" s="911"/>
      <c r="M9" s="912"/>
      <c r="N9" s="912"/>
      <c r="O9" s="913"/>
      <c r="P9" s="3705"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700">
        <f t="shared" si="5"/>
        <v>1</v>
      </c>
    </row>
    <row r="10" spans="1:29" s="375" customFormat="1" ht="27">
      <c r="A10" s="371"/>
      <c r="B10" s="372" t="s">
        <v>1688</v>
      </c>
      <c r="C10" s="3430" t="str">
        <f>E59</f>
        <v>30（含）~20</v>
      </c>
      <c r="D10" s="124">
        <v>100</v>
      </c>
      <c r="E10" s="3430" t="str">
        <f>D59</f>
        <v>40（含）~30</v>
      </c>
      <c r="F10" s="124">
        <f>SUMIF(59:59,E10,60:60)-SUMIF(59:59,C10,60:60)+100</f>
        <v>103</v>
      </c>
      <c r="G10" s="3431" t="str">
        <f>D59</f>
        <v>40（含）~30</v>
      </c>
      <c r="H10" s="124">
        <f>SUMIF(59:59,G10,60:60)-SUMIF(59:59,C10,60:60)+100</f>
        <v>103</v>
      </c>
      <c r="I10" s="3430" t="str">
        <f>E59</f>
        <v>30（含）~20</v>
      </c>
      <c r="J10" s="124">
        <f>SUMIF(59:59,I10,60:60)-SUMIF(59:59,C10,60:60)+100</f>
        <v>100</v>
      </c>
      <c r="K10" s="557"/>
      <c r="L10" s="914"/>
      <c r="M10" s="915"/>
      <c r="N10" s="915"/>
      <c r="O10" s="916"/>
      <c r="P10" s="3705"/>
      <c r="Q10" s="1339" t="str">
        <f t="shared" si="6"/>
        <v>土地使用年限（年）</v>
      </c>
      <c r="R10" s="697" t="s">
        <v>14</v>
      </c>
      <c r="S10" s="698">
        <f t="shared" si="0"/>
        <v>103</v>
      </c>
      <c r="T10" s="697" t="s">
        <v>14</v>
      </c>
      <c r="U10" s="698">
        <f t="shared" si="1"/>
        <v>103</v>
      </c>
      <c r="V10" s="697" t="s">
        <v>14</v>
      </c>
      <c r="W10" s="698">
        <f t="shared" si="2"/>
        <v>100</v>
      </c>
      <c r="X10" s="699"/>
      <c r="Y10" s="3658"/>
      <c r="Z10" s="52" t="str">
        <f t="shared" si="7"/>
        <v>土地使用年限（年）</v>
      </c>
      <c r="AA10" s="700">
        <f t="shared" si="3"/>
        <v>0.970873786407767</v>
      </c>
      <c r="AB10" s="700">
        <f t="shared" si="4"/>
        <v>0.970873786407767</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05"/>
      <c r="Q11" s="1339" t="str">
        <f t="shared" si="6"/>
        <v>容积率</v>
      </c>
      <c r="R11" s="697" t="s">
        <v>14</v>
      </c>
      <c r="S11" s="698">
        <f t="shared" si="0"/>
        <v>100</v>
      </c>
      <c r="T11" s="697" t="s">
        <v>14</v>
      </c>
      <c r="U11" s="698">
        <f t="shared" si="1"/>
        <v>100</v>
      </c>
      <c r="V11" s="697" t="s">
        <v>14</v>
      </c>
      <c r="W11" s="698">
        <f t="shared" si="2"/>
        <v>100</v>
      </c>
      <c r="X11" s="699"/>
      <c r="Y11" s="3658"/>
      <c r="Z11" s="52" t="str">
        <f t="shared" si="7"/>
        <v>容积率</v>
      </c>
      <c r="AA11" s="700">
        <f t="shared" si="3"/>
        <v>1</v>
      </c>
      <c r="AB11" s="700">
        <f t="shared" si="4"/>
        <v>1</v>
      </c>
      <c r="AC11" s="700">
        <f t="shared" si="5"/>
        <v>1</v>
      </c>
    </row>
    <row r="12" spans="1:29" s="108" customFormat="1" ht="15">
      <c r="A12" s="379"/>
      <c r="B12" s="3484" t="s">
        <v>3454</v>
      </c>
      <c r="C12" s="3486" t="s">
        <v>3457</v>
      </c>
      <c r="D12" s="381">
        <v>100</v>
      </c>
      <c r="E12" s="3486" t="s">
        <v>3457</v>
      </c>
      <c r="F12" s="124">
        <f>SUMIF(64:64,E12,65:65)-SUMIF(64:64,C12,65:65)+100</f>
        <v>100</v>
      </c>
      <c r="G12" s="3487" t="s">
        <v>3458</v>
      </c>
      <c r="H12" s="124">
        <f>SUMIF(64:64,G12,65:65)-SUMIF(64:64,C12,65:65)+100</f>
        <v>105</v>
      </c>
      <c r="I12" s="3486" t="s">
        <v>3457</v>
      </c>
      <c r="J12" s="124">
        <f>SUMIF(64:64,I12,65:65)-SUMIF(64:64,C12,65:65)+100</f>
        <v>100</v>
      </c>
      <c r="K12" s="559"/>
      <c r="L12" s="911"/>
      <c r="M12" s="912"/>
      <c r="N12" s="912"/>
      <c r="O12" s="913"/>
      <c r="P12" s="3705"/>
      <c r="Q12" s="1339" t="str">
        <f t="shared" si="6"/>
        <v>销售类型</v>
      </c>
      <c r="R12" s="697" t="s">
        <v>14</v>
      </c>
      <c r="S12" s="698">
        <f t="shared" si="0"/>
        <v>100</v>
      </c>
      <c r="T12" s="697" t="s">
        <v>14</v>
      </c>
      <c r="U12" s="698">
        <f t="shared" si="1"/>
        <v>105</v>
      </c>
      <c r="V12" s="697" t="s">
        <v>14</v>
      </c>
      <c r="W12" s="698">
        <f t="shared" si="2"/>
        <v>100</v>
      </c>
      <c r="X12" s="699"/>
      <c r="Y12" s="3658"/>
      <c r="Z12" s="52" t="str">
        <f t="shared" si="7"/>
        <v>销售类型</v>
      </c>
      <c r="AA12" s="700">
        <f>D12/F12</f>
        <v>1</v>
      </c>
      <c r="AB12" s="700">
        <f>D12/H12</f>
        <v>0.95238095238095233</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05"/>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05"/>
      <c r="Q14" s="1339">
        <f t="shared" si="6"/>
        <v>111</v>
      </c>
      <c r="R14" s="697" t="s">
        <v>14</v>
      </c>
      <c r="S14" s="698">
        <f t="shared" si="0"/>
        <v>100</v>
      </c>
      <c r="T14" s="697" t="s">
        <v>14</v>
      </c>
      <c r="U14" s="698">
        <f t="shared" si="1"/>
        <v>100</v>
      </c>
      <c r="V14" s="697" t="s">
        <v>14</v>
      </c>
      <c r="W14" s="698">
        <f t="shared" si="2"/>
        <v>100</v>
      </c>
      <c r="X14" s="699"/>
      <c r="Y14" s="3658"/>
      <c r="Z14" s="52">
        <f t="shared" si="7"/>
        <v>111</v>
      </c>
      <c r="AA14" s="700">
        <f t="shared" si="3"/>
        <v>1</v>
      </c>
      <c r="AB14" s="700">
        <f t="shared" si="4"/>
        <v>1</v>
      </c>
      <c r="AC14" s="700">
        <f t="shared" si="5"/>
        <v>1</v>
      </c>
    </row>
    <row r="15" spans="1:29" ht="57">
      <c r="A15" s="388" t="s">
        <v>1690</v>
      </c>
      <c r="B15" s="61" t="s">
        <v>1827</v>
      </c>
      <c r="C15" s="1967" t="str">
        <f>估价对象房地状况!G3</f>
        <v>估价对象位于XX开发区，园区建设成熟度XX，产业集聚程度XX</v>
      </c>
      <c r="D15" s="389">
        <v>100</v>
      </c>
      <c r="E15" s="390"/>
      <c r="F15" s="391">
        <f>SUMIF(70:70,E16,71:71)-SUMIF(70:70,C16,71:71)+100</f>
        <v>102</v>
      </c>
      <c r="G15" s="392"/>
      <c r="H15" s="389">
        <f>SUMIF(70:70,G16,71:71)-SUMIF(70:70,C16,71:71)+100</f>
        <v>102</v>
      </c>
      <c r="I15" s="390"/>
      <c r="J15" s="389">
        <f>SUMIF(70:70,I16,71:71)-SUMIF(70:70,C16,71:71)+100</f>
        <v>100</v>
      </c>
      <c r="K15" s="560">
        <v>2</v>
      </c>
      <c r="L15" s="919"/>
      <c r="M15" s="910"/>
      <c r="N15" s="910"/>
      <c r="O15" s="918"/>
      <c r="P15" s="3720" t="s">
        <v>1691</v>
      </c>
      <c r="Q15" s="1348" t="str">
        <f t="shared" si="6"/>
        <v>产业集聚程度</v>
      </c>
      <c r="R15" s="701" t="s">
        <v>14</v>
      </c>
      <c r="S15" s="702">
        <f t="shared" si="0"/>
        <v>102</v>
      </c>
      <c r="T15" s="701" t="s">
        <v>14</v>
      </c>
      <c r="U15" s="702">
        <f t="shared" si="1"/>
        <v>102</v>
      </c>
      <c r="V15" s="701" t="s">
        <v>14</v>
      </c>
      <c r="W15" s="702">
        <f t="shared" si="2"/>
        <v>100</v>
      </c>
      <c r="X15" s="1351"/>
      <c r="Y15" s="3720" t="s">
        <v>1691</v>
      </c>
      <c r="Z15" s="1352" t="str">
        <f t="shared" si="7"/>
        <v>产业集聚程度</v>
      </c>
      <c r="AA15" s="1349">
        <f t="shared" si="3"/>
        <v>0.98039215686274506</v>
      </c>
      <c r="AB15" s="1349">
        <f t="shared" si="4"/>
        <v>0.98039215686274506</v>
      </c>
      <c r="AC15" s="1349">
        <f t="shared" si="5"/>
        <v>1</v>
      </c>
    </row>
    <row r="16" spans="1:29" ht="15">
      <c r="A16" s="376"/>
      <c r="B16" s="394"/>
      <c r="C16" s="395" t="s">
        <v>3459</v>
      </c>
      <c r="D16" s="396"/>
      <c r="E16" s="395" t="s">
        <v>3460</v>
      </c>
      <c r="F16" s="397"/>
      <c r="G16" s="395" t="s">
        <v>3460</v>
      </c>
      <c r="H16" s="398"/>
      <c r="I16" s="395" t="s">
        <v>3459</v>
      </c>
      <c r="J16" s="396"/>
      <c r="K16" s="561"/>
      <c r="L16" s="919"/>
      <c r="M16" s="910"/>
      <c r="N16" s="910"/>
      <c r="O16" s="918"/>
      <c r="P16" s="3721"/>
      <c r="Q16" s="1348"/>
      <c r="R16" s="701"/>
      <c r="S16" s="702"/>
      <c r="T16" s="701"/>
      <c r="U16" s="702"/>
      <c r="V16" s="701"/>
      <c r="W16" s="702"/>
      <c r="X16" s="1351"/>
      <c r="Y16" s="3721"/>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v>2</v>
      </c>
      <c r="L17" s="919"/>
      <c r="M17" s="910"/>
      <c r="N17" s="910"/>
      <c r="O17" s="918"/>
      <c r="P17" s="3721"/>
      <c r="Q17" s="1348" t="str">
        <f>B17</f>
        <v>交通便捷度</v>
      </c>
      <c r="R17" s="701" t="s">
        <v>14</v>
      </c>
      <c r="S17" s="702">
        <f>F17</f>
        <v>100</v>
      </c>
      <c r="T17" s="701" t="s">
        <v>14</v>
      </c>
      <c r="U17" s="702">
        <f>H17</f>
        <v>100</v>
      </c>
      <c r="V17" s="701" t="s">
        <v>14</v>
      </c>
      <c r="W17" s="702">
        <f>J17</f>
        <v>100</v>
      </c>
      <c r="X17" s="1351"/>
      <c r="Y17" s="3721"/>
      <c r="Z17" s="1352" t="str">
        <f>Q17</f>
        <v>交通便捷度</v>
      </c>
      <c r="AA17" s="1349">
        <f t="shared" si="3"/>
        <v>1</v>
      </c>
      <c r="AB17" s="1349">
        <f t="shared" si="4"/>
        <v>1</v>
      </c>
      <c r="AC17" s="1349">
        <f t="shared" si="5"/>
        <v>1</v>
      </c>
    </row>
    <row r="18" spans="1:29" ht="15">
      <c r="A18" s="376"/>
      <c r="B18" s="404"/>
      <c r="C18" s="1897" t="s">
        <v>3461</v>
      </c>
      <c r="D18" s="398"/>
      <c r="E18" s="1897" t="s">
        <v>3461</v>
      </c>
      <c r="F18" s="401"/>
      <c r="G18" s="1897" t="s">
        <v>3461</v>
      </c>
      <c r="H18" s="396"/>
      <c r="I18" s="1897" t="s">
        <v>3461</v>
      </c>
      <c r="J18" s="396"/>
      <c r="K18" s="561"/>
      <c r="L18" s="919"/>
      <c r="M18" s="910"/>
      <c r="N18" s="910"/>
      <c r="O18" s="918"/>
      <c r="P18" s="3721"/>
      <c r="Q18" s="1348"/>
      <c r="R18" s="701"/>
      <c r="S18" s="702"/>
      <c r="T18" s="701"/>
      <c r="U18" s="702"/>
      <c r="V18" s="701"/>
      <c r="W18" s="702"/>
      <c r="X18" s="1351"/>
      <c r="Y18" s="3721"/>
      <c r="Z18" s="1352"/>
      <c r="AA18" s="1349">
        <v>1</v>
      </c>
      <c r="AB18" s="1349">
        <v>1</v>
      </c>
      <c r="AC18" s="1349">
        <v>1</v>
      </c>
    </row>
    <row r="19" spans="1:29" ht="42.75">
      <c r="A19" s="376"/>
      <c r="B19" s="399" t="s">
        <v>1812</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v>2</v>
      </c>
      <c r="L19" s="919"/>
      <c r="M19" s="910"/>
      <c r="N19" s="910"/>
      <c r="O19" s="918"/>
      <c r="P19" s="3721"/>
      <c r="Q19" s="1348" t="str">
        <f>B19</f>
        <v>公共配套设施</v>
      </c>
      <c r="R19" s="701" t="s">
        <v>14</v>
      </c>
      <c r="S19" s="702">
        <f>F19</f>
        <v>100</v>
      </c>
      <c r="T19" s="701" t="s">
        <v>14</v>
      </c>
      <c r="U19" s="702">
        <f>H19</f>
        <v>100</v>
      </c>
      <c r="V19" s="701" t="s">
        <v>14</v>
      </c>
      <c r="W19" s="702">
        <f>J19</f>
        <v>100</v>
      </c>
      <c r="X19" s="1351"/>
      <c r="Y19" s="3721"/>
      <c r="Z19" s="1352" t="str">
        <f>Q19</f>
        <v>公共配套设施</v>
      </c>
      <c r="AA19" s="1349">
        <f t="shared" si="3"/>
        <v>1</v>
      </c>
      <c r="AB19" s="1349">
        <f t="shared" si="4"/>
        <v>1</v>
      </c>
      <c r="AC19" s="1349">
        <f t="shared" si="5"/>
        <v>1</v>
      </c>
    </row>
    <row r="20" spans="1:29" ht="15">
      <c r="A20" s="376"/>
      <c r="B20" s="404"/>
      <c r="C20" s="395" t="s">
        <v>3462</v>
      </c>
      <c r="D20" s="396"/>
      <c r="E20" s="395" t="s">
        <v>3462</v>
      </c>
      <c r="F20" s="397"/>
      <c r="G20" s="395" t="s">
        <v>3462</v>
      </c>
      <c r="H20" s="396"/>
      <c r="I20" s="395" t="s">
        <v>3462</v>
      </c>
      <c r="J20" s="396"/>
      <c r="K20" s="561"/>
      <c r="L20" s="919"/>
      <c r="M20" s="910"/>
      <c r="N20" s="910"/>
      <c r="O20" s="918"/>
      <c r="P20" s="3721"/>
      <c r="Q20" s="1348"/>
      <c r="R20" s="701"/>
      <c r="S20" s="702"/>
      <c r="T20" s="701"/>
      <c r="U20" s="702"/>
      <c r="V20" s="701"/>
      <c r="W20" s="702"/>
      <c r="X20" s="1351"/>
      <c r="Y20" s="3721"/>
      <c r="Z20" s="1352"/>
      <c r="AA20" s="1349">
        <v>1</v>
      </c>
      <c r="AB20" s="1349">
        <v>1</v>
      </c>
      <c r="AC20" s="1349">
        <v>1</v>
      </c>
    </row>
    <row r="21" spans="1:29" ht="28.5">
      <c r="A21" s="376"/>
      <c r="B21" s="1127" t="s">
        <v>1813</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v>1</v>
      </c>
      <c r="L21" s="919"/>
      <c r="M21" s="910"/>
      <c r="N21" s="910"/>
      <c r="O21" s="918"/>
      <c r="P21" s="3721"/>
      <c r="Q21" s="1348" t="str">
        <f>B21</f>
        <v>基础设施水平</v>
      </c>
      <c r="R21" s="701" t="s">
        <v>14</v>
      </c>
      <c r="S21" s="702">
        <f>F21</f>
        <v>100</v>
      </c>
      <c r="T21" s="701" t="s">
        <v>14</v>
      </c>
      <c r="U21" s="702">
        <f>H21</f>
        <v>100</v>
      </c>
      <c r="V21" s="701" t="s">
        <v>14</v>
      </c>
      <c r="W21" s="702">
        <f>J21</f>
        <v>100</v>
      </c>
      <c r="X21" s="1351"/>
      <c r="Y21" s="3721"/>
      <c r="Z21" s="1352" t="str">
        <f>Q21</f>
        <v>基础设施水平</v>
      </c>
      <c r="AA21" s="1349">
        <f t="shared" ref="AA21" si="8">D21/F21</f>
        <v>1</v>
      </c>
      <c r="AB21" s="1349">
        <f t="shared" ref="AB21" si="9">D21/H21</f>
        <v>1</v>
      </c>
      <c r="AC21" s="1349">
        <f t="shared" ref="AC21" si="10">D21/J21</f>
        <v>1</v>
      </c>
    </row>
    <row r="22" spans="1:29" ht="15">
      <c r="A22" s="376"/>
      <c r="B22" s="1127"/>
      <c r="C22" s="1897" t="s">
        <v>3463</v>
      </c>
      <c r="D22" s="396"/>
      <c r="E22" s="1897" t="s">
        <v>3463</v>
      </c>
      <c r="F22" s="397"/>
      <c r="G22" s="1897" t="s">
        <v>3463</v>
      </c>
      <c r="H22" s="396"/>
      <c r="I22" s="1897" t="s">
        <v>3463</v>
      </c>
      <c r="J22" s="396"/>
      <c r="K22" s="1126"/>
      <c r="L22" s="919"/>
      <c r="M22" s="910"/>
      <c r="N22" s="910"/>
      <c r="O22" s="918"/>
      <c r="P22" s="3721"/>
      <c r="Q22" s="1348"/>
      <c r="R22" s="701"/>
      <c r="S22" s="702"/>
      <c r="T22" s="701"/>
      <c r="U22" s="702"/>
      <c r="V22" s="701"/>
      <c r="W22" s="702"/>
      <c r="X22" s="1351"/>
      <c r="Y22" s="3721"/>
      <c r="Z22" s="1352"/>
      <c r="AA22" s="1349">
        <v>1</v>
      </c>
      <c r="AB22" s="1349">
        <v>1</v>
      </c>
      <c r="AC22" s="1349">
        <v>1</v>
      </c>
    </row>
    <row r="23" spans="1:29" ht="71.25">
      <c r="A23" s="376"/>
      <c r="B23" s="399" t="s">
        <v>1814</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v>2</v>
      </c>
      <c r="L23" s="919"/>
      <c r="M23" s="910"/>
      <c r="N23" s="910"/>
      <c r="O23" s="918"/>
      <c r="P23" s="3721"/>
      <c r="Q23" s="1348" t="str">
        <f>B23</f>
        <v>环境质量</v>
      </c>
      <c r="R23" s="701" t="s">
        <v>14</v>
      </c>
      <c r="S23" s="702">
        <f>F23</f>
        <v>100</v>
      </c>
      <c r="T23" s="701" t="s">
        <v>14</v>
      </c>
      <c r="U23" s="702">
        <f>H23</f>
        <v>100</v>
      </c>
      <c r="V23" s="701" t="s">
        <v>14</v>
      </c>
      <c r="W23" s="702">
        <f>J23</f>
        <v>100</v>
      </c>
      <c r="X23" s="1351"/>
      <c r="Y23" s="3721"/>
      <c r="Z23" s="1352" t="str">
        <f>Q23</f>
        <v>环境质量</v>
      </c>
      <c r="AA23" s="1349">
        <f t="shared" si="3"/>
        <v>1</v>
      </c>
      <c r="AB23" s="1349">
        <f t="shared" si="4"/>
        <v>1</v>
      </c>
      <c r="AC23" s="1349">
        <f t="shared" si="5"/>
        <v>1</v>
      </c>
    </row>
    <row r="24" spans="1:29" ht="15">
      <c r="A24" s="376"/>
      <c r="B24" s="1127"/>
      <c r="C24" s="395" t="s">
        <v>3459</v>
      </c>
      <c r="D24" s="396"/>
      <c r="E24" s="395" t="s">
        <v>3459</v>
      </c>
      <c r="F24" s="397"/>
      <c r="G24" s="395" t="s">
        <v>3459</v>
      </c>
      <c r="H24" s="396"/>
      <c r="I24" s="395" t="s">
        <v>3459</v>
      </c>
      <c r="J24" s="396"/>
      <c r="K24" s="561"/>
      <c r="L24" s="919"/>
      <c r="M24" s="910"/>
      <c r="N24" s="910"/>
      <c r="O24" s="918"/>
      <c r="P24" s="3721"/>
      <c r="Q24" s="1348"/>
      <c r="R24" s="701"/>
      <c r="S24" s="702"/>
      <c r="T24" s="701"/>
      <c r="U24" s="702"/>
      <c r="V24" s="701"/>
      <c r="W24" s="702"/>
      <c r="X24" s="1351"/>
      <c r="Y24" s="3721"/>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1"/>
      <c r="Q25" s="1348">
        <f>B25</f>
        <v>111</v>
      </c>
      <c r="R25" s="701" t="s">
        <v>14</v>
      </c>
      <c r="S25" s="702">
        <f>F25</f>
        <v>100</v>
      </c>
      <c r="T25" s="701" t="s">
        <v>14</v>
      </c>
      <c r="U25" s="702">
        <f>H25</f>
        <v>100</v>
      </c>
      <c r="V25" s="701" t="s">
        <v>14</v>
      </c>
      <c r="W25" s="702">
        <f>J25</f>
        <v>100</v>
      </c>
      <c r="X25" s="1351"/>
      <c r="Y25" s="3721"/>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1"/>
      <c r="Q26" s="1348">
        <f t="shared" ref="Q26:Q40" si="11">B26</f>
        <v>111</v>
      </c>
      <c r="R26" s="701" t="s">
        <v>14</v>
      </c>
      <c r="S26" s="702">
        <f>F26</f>
        <v>100</v>
      </c>
      <c r="T26" s="701" t="s">
        <v>14</v>
      </c>
      <c r="U26" s="702">
        <f>H26</f>
        <v>100</v>
      </c>
      <c r="V26" s="701" t="s">
        <v>14</v>
      </c>
      <c r="W26" s="702">
        <f>J26</f>
        <v>100</v>
      </c>
      <c r="X26" s="1351"/>
      <c r="Y26" s="3721"/>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1"/>
      <c r="Q27" s="1339">
        <f t="shared" si="11"/>
        <v>111</v>
      </c>
      <c r="R27" s="697" t="s">
        <v>14</v>
      </c>
      <c r="S27" s="698">
        <f>F27</f>
        <v>100</v>
      </c>
      <c r="T27" s="697" t="s">
        <v>14</v>
      </c>
      <c r="U27" s="698">
        <f>H27</f>
        <v>100</v>
      </c>
      <c r="V27" s="697" t="s">
        <v>14</v>
      </c>
      <c r="W27" s="698">
        <f>J27</f>
        <v>100</v>
      </c>
      <c r="X27" s="699"/>
      <c r="Y27" s="3721"/>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1"/>
      <c r="Q28" s="1348">
        <f t="shared" si="11"/>
        <v>111</v>
      </c>
      <c r="R28" s="701" t="s">
        <v>14</v>
      </c>
      <c r="S28" s="702">
        <f t="shared" ref="S28:S40" si="12">F28</f>
        <v>100</v>
      </c>
      <c r="T28" s="701" t="s">
        <v>14</v>
      </c>
      <c r="U28" s="702">
        <f t="shared" ref="U28:U40" si="13">H28</f>
        <v>100</v>
      </c>
      <c r="V28" s="701" t="s">
        <v>14</v>
      </c>
      <c r="W28" s="702">
        <f t="shared" ref="W28:W40" si="14">J28</f>
        <v>100</v>
      </c>
      <c r="X28" s="1351"/>
      <c r="Y28" s="3721"/>
      <c r="Z28" s="1352">
        <f t="shared" ref="Z28:Z40" si="15">Q28</f>
        <v>111</v>
      </c>
      <c r="AA28" s="1349">
        <f t="shared" si="3"/>
        <v>1</v>
      </c>
      <c r="AB28" s="1349">
        <f t="shared" si="4"/>
        <v>1</v>
      </c>
      <c r="AC28" s="1349">
        <f t="shared" si="5"/>
        <v>1</v>
      </c>
    </row>
    <row r="29" spans="1:29" ht="28.5">
      <c r="A29" s="414" t="s">
        <v>1694</v>
      </c>
      <c r="B29" s="63" t="s">
        <v>1817</v>
      </c>
      <c r="C29" s="1963" t="s">
        <v>3464</v>
      </c>
      <c r="D29" s="415">
        <v>100</v>
      </c>
      <c r="E29" s="1963" t="s">
        <v>3464</v>
      </c>
      <c r="F29" s="409">
        <f>SUMIF(88:88,E29,89:89)-SUMIF(88:88,C29,89:89)+100</f>
        <v>100</v>
      </c>
      <c r="G29" s="1963" t="s">
        <v>3464</v>
      </c>
      <c r="H29" s="383">
        <f>SUMIF(88:88,G29,89:89)-SUMIF(88:88,C29,89:89)+100</f>
        <v>100</v>
      </c>
      <c r="I29" s="1963" t="s">
        <v>3464</v>
      </c>
      <c r="J29" s="415">
        <f>SUMIF(88:88,I29,89:89)-SUMIF(88:88,C29,89:89)+100</f>
        <v>100</v>
      </c>
      <c r="K29" s="558">
        <v>2</v>
      </c>
      <c r="L29" s="919"/>
      <c r="M29" s="910"/>
      <c r="N29" s="910"/>
      <c r="O29" s="918"/>
      <c r="P29" s="3722" t="s">
        <v>1696</v>
      </c>
      <c r="Q29" s="1348" t="str">
        <f t="shared" si="11"/>
        <v>建筑类型</v>
      </c>
      <c r="R29" s="701" t="s">
        <v>14</v>
      </c>
      <c r="S29" s="702">
        <f t="shared" si="12"/>
        <v>100</v>
      </c>
      <c r="T29" s="701" t="s">
        <v>14</v>
      </c>
      <c r="U29" s="702">
        <f t="shared" si="13"/>
        <v>100</v>
      </c>
      <c r="V29" s="701" t="s">
        <v>14</v>
      </c>
      <c r="W29" s="702">
        <f t="shared" si="14"/>
        <v>100</v>
      </c>
      <c r="X29" s="1351"/>
      <c r="Y29" s="3723" t="s">
        <v>1696</v>
      </c>
      <c r="Z29" s="1352" t="str">
        <f t="shared" si="15"/>
        <v>建筑类型</v>
      </c>
      <c r="AA29" s="1349">
        <f t="shared" si="3"/>
        <v>1</v>
      </c>
      <c r="AB29" s="1349">
        <f t="shared" si="4"/>
        <v>1</v>
      </c>
      <c r="AC29" s="1349">
        <f t="shared" si="5"/>
        <v>1</v>
      </c>
    </row>
    <row r="30" spans="1:29" s="419" customFormat="1" ht="15">
      <c r="A30" s="416"/>
      <c r="B30" s="372" t="s">
        <v>1697</v>
      </c>
      <c r="C30" s="417">
        <f>'数据-汇总表'!E3</f>
        <v>309.42</v>
      </c>
      <c r="D30" s="124">
        <v>100</v>
      </c>
      <c r="E30" s="417">
        <v>688</v>
      </c>
      <c r="F30" s="373">
        <f>LOOKUP(E30,91:91,92:92)-LOOKUP(C30,91:91,92:92)+100</f>
        <v>99</v>
      </c>
      <c r="G30" s="417">
        <v>1336</v>
      </c>
      <c r="H30" s="124">
        <f>LOOKUP(G30,91:91,92:92)-LOOKUP(C30,91:91,92:92)+100</f>
        <v>98</v>
      </c>
      <c r="I30" s="417">
        <v>330</v>
      </c>
      <c r="J30" s="124">
        <f>LOOKUP(I30,91:91,92:92)-LOOKUP(C30,91:91,92:92)+100</f>
        <v>100</v>
      </c>
      <c r="K30" s="559"/>
      <c r="L30" s="917"/>
      <c r="M30" s="920"/>
      <c r="N30" s="920"/>
      <c r="O30" s="921"/>
      <c r="P30" s="3723"/>
      <c r="Q30" s="703" t="str">
        <f t="shared" si="11"/>
        <v>项目建筑规模</v>
      </c>
      <c r="R30" s="704" t="s">
        <v>14</v>
      </c>
      <c r="S30" s="705">
        <f t="shared" si="12"/>
        <v>99</v>
      </c>
      <c r="T30" s="704" t="s">
        <v>14</v>
      </c>
      <c r="U30" s="705">
        <f t="shared" si="13"/>
        <v>98</v>
      </c>
      <c r="V30" s="704" t="s">
        <v>14</v>
      </c>
      <c r="W30" s="705">
        <f t="shared" si="14"/>
        <v>100</v>
      </c>
      <c r="X30" s="706"/>
      <c r="Y30" s="3723"/>
      <c r="Z30" s="707" t="str">
        <f t="shared" si="15"/>
        <v>项目建筑规模</v>
      </c>
      <c r="AA30" s="1349">
        <f t="shared" si="3"/>
        <v>1.0101010101010102</v>
      </c>
      <c r="AB30" s="1349">
        <f t="shared" si="4"/>
        <v>1.0204081632653061</v>
      </c>
      <c r="AC30" s="1349">
        <f t="shared" si="5"/>
        <v>1</v>
      </c>
    </row>
    <row r="31" spans="1:29" ht="15">
      <c r="A31" s="420"/>
      <c r="B31" s="372" t="s">
        <v>1698</v>
      </c>
      <c r="C31" s="408" t="s">
        <v>3435</v>
      </c>
      <c r="D31" s="383">
        <v>100</v>
      </c>
      <c r="E31" s="408" t="s">
        <v>3435</v>
      </c>
      <c r="F31" s="409">
        <f>SUMIF(93:93,E31,94:94)-SUMIF(93:93,C31,94:94)+100</f>
        <v>100</v>
      </c>
      <c r="G31" s="408" t="s">
        <v>3435</v>
      </c>
      <c r="H31" s="383">
        <f>SUMIF(93:93,G31,94:94)-SUMIF(93:93,C31,94:94)+100</f>
        <v>100</v>
      </c>
      <c r="I31" s="408" t="s">
        <v>3435</v>
      </c>
      <c r="J31" s="383">
        <f>SUMIF(93:93,I31,94:94)-SUMIF(93:93,C31,94:94)+100</f>
        <v>100</v>
      </c>
      <c r="K31" s="3493">
        <v>1</v>
      </c>
      <c r="L31" s="919"/>
      <c r="M31" s="910"/>
      <c r="N31" s="910"/>
      <c r="O31" s="918"/>
      <c r="P31" s="3723"/>
      <c r="Q31" s="1348" t="str">
        <f t="shared" si="11"/>
        <v>建筑结构</v>
      </c>
      <c r="R31" s="701" t="s">
        <v>14</v>
      </c>
      <c r="S31" s="702">
        <f t="shared" si="12"/>
        <v>100</v>
      </c>
      <c r="T31" s="701" t="s">
        <v>14</v>
      </c>
      <c r="U31" s="702">
        <f t="shared" si="13"/>
        <v>100</v>
      </c>
      <c r="V31" s="701" t="s">
        <v>14</v>
      </c>
      <c r="W31" s="702">
        <f t="shared" si="14"/>
        <v>100</v>
      </c>
      <c r="X31" s="1351"/>
      <c r="Y31" s="3723"/>
      <c r="Z31" s="1352" t="str">
        <f t="shared" si="15"/>
        <v>建筑结构</v>
      </c>
      <c r="AA31" s="1349">
        <f t="shared" si="3"/>
        <v>1</v>
      </c>
      <c r="AB31" s="1349">
        <f t="shared" si="4"/>
        <v>1</v>
      </c>
      <c r="AC31" s="1349">
        <f t="shared" si="5"/>
        <v>1</v>
      </c>
    </row>
    <row r="32" spans="1:29" ht="15">
      <c r="A32" s="420"/>
      <c r="B32" s="372" t="s">
        <v>1785</v>
      </c>
      <c r="C32" s="408" t="s">
        <v>3478</v>
      </c>
      <c r="D32" s="383">
        <v>100</v>
      </c>
      <c r="E32" s="408" t="s">
        <v>3478</v>
      </c>
      <c r="F32" s="409">
        <f>SUMIF(95:95,E32,96:96)-SUMIF(95:95,C32,96:96)+100</f>
        <v>100</v>
      </c>
      <c r="G32" s="408" t="s">
        <v>3478</v>
      </c>
      <c r="H32" s="383">
        <f>SUMIF(95:95,G32,96:96)-SUMIF(95:95,C32,96:96)+100</f>
        <v>100</v>
      </c>
      <c r="I32" s="408" t="s">
        <v>3478</v>
      </c>
      <c r="J32" s="383">
        <f>SUMIF(95:95,I32,96:96)-SUMIF(95:95,C32,96:96)+100</f>
        <v>100</v>
      </c>
      <c r="K32" s="3493">
        <v>1</v>
      </c>
      <c r="L32" s="919"/>
      <c r="M32" s="910"/>
      <c r="N32" s="910"/>
      <c r="O32" s="918"/>
      <c r="P32" s="3723"/>
      <c r="Q32" s="1348" t="str">
        <f t="shared" si="11"/>
        <v>公共部分装修</v>
      </c>
      <c r="R32" s="701" t="s">
        <v>14</v>
      </c>
      <c r="S32" s="702">
        <f t="shared" si="12"/>
        <v>100</v>
      </c>
      <c r="T32" s="701" t="s">
        <v>14</v>
      </c>
      <c r="U32" s="702">
        <f t="shared" si="13"/>
        <v>100</v>
      </c>
      <c r="V32" s="701" t="s">
        <v>14</v>
      </c>
      <c r="W32" s="702">
        <f t="shared" si="14"/>
        <v>100</v>
      </c>
      <c r="X32" s="1351"/>
      <c r="Y32" s="3723"/>
      <c r="Z32" s="1352" t="str">
        <f t="shared" si="15"/>
        <v>公共部分装修</v>
      </c>
      <c r="AA32" s="1349">
        <f t="shared" si="3"/>
        <v>1</v>
      </c>
      <c r="AB32" s="1349">
        <f t="shared" si="4"/>
        <v>1</v>
      </c>
      <c r="AC32" s="1349">
        <f t="shared" si="5"/>
        <v>1</v>
      </c>
    </row>
    <row r="33" spans="1:29" ht="15">
      <c r="A33" s="420"/>
      <c r="B33" s="372" t="s">
        <v>1786</v>
      </c>
      <c r="C33" s="3492">
        <f>'数据-取费表'!N6</f>
        <v>0.88</v>
      </c>
      <c r="D33" s="383">
        <v>100</v>
      </c>
      <c r="E33" s="3492">
        <v>0.78</v>
      </c>
      <c r="F33" s="409">
        <f>LOOKUP(E33,98:98,99:99)-LOOKUP(C33,98:98,99:99)+100</f>
        <v>99</v>
      </c>
      <c r="G33" s="3492">
        <v>0.78</v>
      </c>
      <c r="H33" s="409">
        <f>LOOKUP(G33,98:98,99:99)-LOOKUP(C33,98:98,99:99)+100</f>
        <v>99</v>
      </c>
      <c r="I33" s="3492">
        <v>0.88</v>
      </c>
      <c r="J33" s="383">
        <f>LOOKUP(I33,98:98,99:99)-LOOKUP(C33,98:98,99:99)+100</f>
        <v>100</v>
      </c>
      <c r="K33" s="3493">
        <v>1</v>
      </c>
      <c r="L33" s="919"/>
      <c r="M33" s="910"/>
      <c r="N33" s="910"/>
      <c r="O33" s="918"/>
      <c r="P33" s="3723"/>
      <c r="Q33" s="1348" t="str">
        <f t="shared" si="11"/>
        <v>成新度</v>
      </c>
      <c r="R33" s="701" t="s">
        <v>14</v>
      </c>
      <c r="S33" s="702">
        <f t="shared" si="12"/>
        <v>99</v>
      </c>
      <c r="T33" s="701" t="s">
        <v>14</v>
      </c>
      <c r="U33" s="702">
        <f t="shared" si="13"/>
        <v>99</v>
      </c>
      <c r="V33" s="701" t="s">
        <v>14</v>
      </c>
      <c r="W33" s="702">
        <f t="shared" si="14"/>
        <v>100</v>
      </c>
      <c r="X33" s="1351"/>
      <c r="Y33" s="3723"/>
      <c r="Z33" s="1352" t="str">
        <f t="shared" si="15"/>
        <v>成新度</v>
      </c>
      <c r="AA33" s="1349">
        <f t="shared" si="3"/>
        <v>1.0101010101010102</v>
      </c>
      <c r="AB33" s="1349">
        <f t="shared" si="4"/>
        <v>1.0101010101010102</v>
      </c>
      <c r="AC33" s="1349">
        <f t="shared" si="5"/>
        <v>1</v>
      </c>
    </row>
    <row r="34" spans="1:29" s="108" customFormat="1" ht="15">
      <c r="A34" s="421"/>
      <c r="B34" s="372" t="s">
        <v>1819</v>
      </c>
      <c r="C34" s="408" t="s">
        <v>3471</v>
      </c>
      <c r="D34" s="124">
        <v>100</v>
      </c>
      <c r="E34" s="408" t="s">
        <v>3471</v>
      </c>
      <c r="F34" s="409">
        <f>SUMIF(100:100,E34,101:101)-SUMIF(100:100,C34,101:101)+100</f>
        <v>100</v>
      </c>
      <c r="G34" s="408" t="s">
        <v>3471</v>
      </c>
      <c r="H34" s="383">
        <f>SUMIF(100:100,G34,101:101)-SUMIF(100:100,C34,101:101)+100</f>
        <v>100</v>
      </c>
      <c r="I34" s="408" t="s">
        <v>3471</v>
      </c>
      <c r="J34" s="383">
        <f>SUMIF(100:100,I34,101:101)-SUMIF(100:100,C34,101:101)+100</f>
        <v>100</v>
      </c>
      <c r="K34" s="3493">
        <v>1</v>
      </c>
      <c r="L34" s="911"/>
      <c r="M34" s="912"/>
      <c r="N34" s="912"/>
      <c r="O34" s="913"/>
      <c r="P34" s="3723"/>
      <c r="Q34" s="1339" t="str">
        <f t="shared" si="11"/>
        <v>物业管理</v>
      </c>
      <c r="R34" s="697" t="s">
        <v>14</v>
      </c>
      <c r="S34" s="698">
        <f t="shared" si="12"/>
        <v>100</v>
      </c>
      <c r="T34" s="697" t="s">
        <v>14</v>
      </c>
      <c r="U34" s="698">
        <f t="shared" si="13"/>
        <v>100</v>
      </c>
      <c r="V34" s="697" t="s">
        <v>14</v>
      </c>
      <c r="W34" s="698">
        <f t="shared" si="14"/>
        <v>100</v>
      </c>
      <c r="X34" s="699"/>
      <c r="Y34" s="3723"/>
      <c r="Z34" s="52" t="str">
        <f t="shared" si="15"/>
        <v>物业管理</v>
      </c>
      <c r="AA34" s="700">
        <f t="shared" si="3"/>
        <v>1</v>
      </c>
      <c r="AB34" s="700">
        <f t="shared" si="4"/>
        <v>1</v>
      </c>
      <c r="AC34" s="700">
        <f t="shared" si="5"/>
        <v>1</v>
      </c>
    </row>
    <row r="35" spans="1:29" ht="15">
      <c r="A35" s="420"/>
      <c r="B35" s="372" t="s">
        <v>1787</v>
      </c>
      <c r="C35" s="408" t="s">
        <v>3476</v>
      </c>
      <c r="D35" s="383">
        <v>100</v>
      </c>
      <c r="E35" s="408" t="s">
        <v>3476</v>
      </c>
      <c r="F35" s="409">
        <f>SUMIF(102:102,E35,103:103)-SUMIF(102:102,C35,103:103)+100</f>
        <v>100</v>
      </c>
      <c r="G35" s="408" t="s">
        <v>3476</v>
      </c>
      <c r="H35" s="383">
        <f>SUMIF(102:102,G35,103:103)-SUMIF(102:102,C35,103:103)+100</f>
        <v>100</v>
      </c>
      <c r="I35" s="408" t="s">
        <v>3476</v>
      </c>
      <c r="J35" s="383">
        <f>SUMIF(102:102,I35,103:103)-SUMIF(102:102,C35,103:103)+100</f>
        <v>100</v>
      </c>
      <c r="K35" s="3493">
        <v>1</v>
      </c>
      <c r="L35" s="919"/>
      <c r="M35" s="910"/>
      <c r="N35" s="910"/>
      <c r="O35" s="918"/>
      <c r="P35" s="3723" t="s">
        <v>1696</v>
      </c>
      <c r="Q35" s="1348" t="str">
        <f t="shared" si="11"/>
        <v>市政基础设施</v>
      </c>
      <c r="R35" s="701" t="s">
        <v>14</v>
      </c>
      <c r="S35" s="702">
        <f t="shared" si="12"/>
        <v>100</v>
      </c>
      <c r="T35" s="701" t="s">
        <v>14</v>
      </c>
      <c r="U35" s="702">
        <f t="shared" si="13"/>
        <v>100</v>
      </c>
      <c r="V35" s="701" t="s">
        <v>14</v>
      </c>
      <c r="W35" s="702">
        <f t="shared" si="14"/>
        <v>100</v>
      </c>
      <c r="X35" s="1351"/>
      <c r="Y35" s="3723" t="s">
        <v>1696</v>
      </c>
      <c r="Z35" s="1352" t="str">
        <f t="shared" si="15"/>
        <v>市政基础设施</v>
      </c>
      <c r="AA35" s="1349">
        <f t="shared" si="3"/>
        <v>1</v>
      </c>
      <c r="AB35" s="1349">
        <f t="shared" si="4"/>
        <v>1</v>
      </c>
      <c r="AC35" s="1349">
        <f t="shared" si="5"/>
        <v>1</v>
      </c>
    </row>
    <row r="36" spans="1:29" ht="15">
      <c r="A36" s="420"/>
      <c r="B36" s="372" t="s">
        <v>1792</v>
      </c>
      <c r="C36" s="408" t="s">
        <v>3479</v>
      </c>
      <c r="D36" s="383">
        <v>100</v>
      </c>
      <c r="E36" s="408" t="s">
        <v>3479</v>
      </c>
      <c r="F36" s="409">
        <f>SUMIF(104:104,E36,105:105)-SUMIF(104:104,C36,105:105)+100</f>
        <v>100</v>
      </c>
      <c r="G36" s="408" t="s">
        <v>3479</v>
      </c>
      <c r="H36" s="383">
        <f>SUMIF(104:104,G36,105:105)-SUMIF(104:104,C36,105:105)+100</f>
        <v>100</v>
      </c>
      <c r="I36" s="408" t="s">
        <v>3479</v>
      </c>
      <c r="J36" s="383">
        <f>SUMIF(104:104,I36,105:105)-SUMIF(104:104,C36,105:105)+100</f>
        <v>100</v>
      </c>
      <c r="K36" s="3493">
        <v>2</v>
      </c>
      <c r="L36" s="919"/>
      <c r="M36" s="910"/>
      <c r="N36" s="910"/>
      <c r="O36" s="918"/>
      <c r="P36" s="3723"/>
      <c r="Q36" s="1348" t="str">
        <f t="shared" si="11"/>
        <v>内部装修</v>
      </c>
      <c r="R36" s="701" t="s">
        <v>14</v>
      </c>
      <c r="S36" s="702">
        <f t="shared" si="12"/>
        <v>100</v>
      </c>
      <c r="T36" s="701" t="s">
        <v>14</v>
      </c>
      <c r="U36" s="702">
        <f t="shared" si="13"/>
        <v>100</v>
      </c>
      <c r="V36" s="701" t="s">
        <v>14</v>
      </c>
      <c r="W36" s="702">
        <f t="shared" si="14"/>
        <v>100</v>
      </c>
      <c r="X36" s="1351"/>
      <c r="Y36" s="3723"/>
      <c r="Z36" s="1352" t="str">
        <f t="shared" si="15"/>
        <v>内部装修</v>
      </c>
      <c r="AA36" s="1349">
        <f t="shared" si="3"/>
        <v>1</v>
      </c>
      <c r="AB36" s="1349">
        <f t="shared" si="4"/>
        <v>1</v>
      </c>
      <c r="AC36" s="1349">
        <f t="shared" si="5"/>
        <v>1</v>
      </c>
    </row>
    <row r="37" spans="1:29" ht="15">
      <c r="A37" s="420"/>
      <c r="B37" s="372" t="s">
        <v>1828</v>
      </c>
      <c r="C37" s="562" t="s">
        <v>3459</v>
      </c>
      <c r="D37" s="383">
        <v>100</v>
      </c>
      <c r="E37" s="562" t="s">
        <v>3459</v>
      </c>
      <c r="F37" s="409">
        <f>SUMIF(106:106,E37,107:107)-SUMIF(106:106,C37,107:107)+100</f>
        <v>100</v>
      </c>
      <c r="G37" s="562" t="s">
        <v>3459</v>
      </c>
      <c r="H37" s="383">
        <f>SUMIF(106:106,G37,107:107)-SUMIF(106:106,C37,107:107)+100</f>
        <v>100</v>
      </c>
      <c r="I37" s="562" t="s">
        <v>3459</v>
      </c>
      <c r="J37" s="383">
        <f>SUMIF(106:106,I37,107:107)-SUMIF(106:106,C37,107:107)+100</f>
        <v>100</v>
      </c>
      <c r="K37" s="3493">
        <v>1</v>
      </c>
      <c r="L37" s="919"/>
      <c r="M37" s="910"/>
      <c r="N37" s="910"/>
      <c r="O37" s="918"/>
      <c r="P37" s="3723"/>
      <c r="Q37" s="1348" t="str">
        <f t="shared" si="11"/>
        <v>内部装修状况</v>
      </c>
      <c r="R37" s="701" t="s">
        <v>14</v>
      </c>
      <c r="S37" s="702">
        <f t="shared" si="12"/>
        <v>100</v>
      </c>
      <c r="T37" s="701" t="s">
        <v>14</v>
      </c>
      <c r="U37" s="702">
        <f t="shared" si="13"/>
        <v>100</v>
      </c>
      <c r="V37" s="701" t="s">
        <v>14</v>
      </c>
      <c r="W37" s="702">
        <f t="shared" si="14"/>
        <v>100</v>
      </c>
      <c r="X37" s="1351"/>
      <c r="Y37" s="3723"/>
      <c r="Z37" s="1352" t="str">
        <f t="shared" si="15"/>
        <v>内部装修状况</v>
      </c>
      <c r="AA37" s="1349">
        <f t="shared" si="3"/>
        <v>1</v>
      </c>
      <c r="AB37" s="1349">
        <f t="shared" si="4"/>
        <v>1</v>
      </c>
      <c r="AC37" s="1349">
        <f t="shared" si="5"/>
        <v>1</v>
      </c>
    </row>
    <row r="38" spans="1:29" s="419" customFormat="1" ht="15">
      <c r="A38" s="416"/>
      <c r="B38" s="3495"/>
      <c r="C38" s="3496"/>
      <c r="D38" s="383">
        <v>100</v>
      </c>
      <c r="E38" s="3497"/>
      <c r="F38" s="409">
        <f>SUMIF(108:108,E38,109:109)-SUMIF(108:108,C38,109:109)+100</f>
        <v>100</v>
      </c>
      <c r="G38" s="3497"/>
      <c r="H38" s="383">
        <f>SUMIF(108:108,G38,109:109)-SUMIF(108:108,C38,109:109)+100</f>
        <v>100</v>
      </c>
      <c r="I38" s="3497"/>
      <c r="J38" s="383">
        <f>SUMIF(108:108,I38,109:1038)-SUMIF(108:108,C38,109:109)+100</f>
        <v>100</v>
      </c>
      <c r="K38" s="559"/>
      <c r="L38" s="917"/>
      <c r="M38" s="920"/>
      <c r="N38" s="920"/>
      <c r="O38" s="921"/>
      <c r="P38" s="3723"/>
      <c r="Q38" s="703">
        <f t="shared" si="11"/>
        <v>0</v>
      </c>
      <c r="R38" s="704" t="s">
        <v>14</v>
      </c>
      <c r="S38" s="705">
        <f t="shared" si="12"/>
        <v>100</v>
      </c>
      <c r="T38" s="704" t="s">
        <v>14</v>
      </c>
      <c r="U38" s="705">
        <f t="shared" si="13"/>
        <v>100</v>
      </c>
      <c r="V38" s="704" t="s">
        <v>14</v>
      </c>
      <c r="W38" s="705">
        <f t="shared" si="14"/>
        <v>100</v>
      </c>
      <c r="X38" s="706"/>
      <c r="Y38" s="3723"/>
      <c r="Z38" s="707">
        <f t="shared" si="15"/>
        <v>0</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3"/>
      <c r="Q39" s="1348">
        <f t="shared" si="11"/>
        <v>111</v>
      </c>
      <c r="R39" s="701" t="s">
        <v>14</v>
      </c>
      <c r="S39" s="702">
        <f t="shared" si="12"/>
        <v>100</v>
      </c>
      <c r="T39" s="701" t="s">
        <v>14</v>
      </c>
      <c r="U39" s="702">
        <f t="shared" si="13"/>
        <v>100</v>
      </c>
      <c r="V39" s="701" t="s">
        <v>14</v>
      </c>
      <c r="W39" s="702">
        <f t="shared" si="14"/>
        <v>100</v>
      </c>
      <c r="X39" s="1351"/>
      <c r="Y39" s="3723"/>
      <c r="Z39" s="1352">
        <f t="shared" si="15"/>
        <v>111</v>
      </c>
      <c r="AA39" s="1349">
        <f t="shared" si="3"/>
        <v>1</v>
      </c>
      <c r="AB39" s="1349">
        <f t="shared" si="4"/>
        <v>1</v>
      </c>
      <c r="AC39" s="1349">
        <f t="shared" si="5"/>
        <v>1</v>
      </c>
    </row>
    <row r="40" spans="1:29" ht="15.75" thickBot="1">
      <c r="A40" s="426"/>
      <c r="B40" s="1891">
        <v>111</v>
      </c>
      <c r="C40" s="385">
        <f>'数据-取费表'!N19</f>
        <v>2018</v>
      </c>
      <c r="D40" s="386">
        <v>100</v>
      </c>
      <c r="E40" s="382">
        <v>2012</v>
      </c>
      <c r="F40" s="387">
        <f>SUMIF(112:112,E40,113:113)-SUMIF(112:112,C40,113:113)+100</f>
        <v>100</v>
      </c>
      <c r="G40" s="417">
        <v>2012</v>
      </c>
      <c r="H40" s="386">
        <f>SUMIF(112:112,G40,113:113)-SUMIF(112:112,C40,113:113)+100</f>
        <v>100</v>
      </c>
      <c r="I40" s="417">
        <v>2018</v>
      </c>
      <c r="J40" s="386">
        <f>SUMIF(112:112,I40,113:113)-SUMIF(112:112,C40,113:113)+100</f>
        <v>100</v>
      </c>
      <c r="K40" s="559"/>
      <c r="L40" s="919"/>
      <c r="M40" s="910"/>
      <c r="N40" s="910"/>
      <c r="O40" s="918"/>
      <c r="P40" s="3724"/>
      <c r="Q40" s="1348">
        <f t="shared" si="11"/>
        <v>111</v>
      </c>
      <c r="R40" s="701" t="s">
        <v>14</v>
      </c>
      <c r="S40" s="702">
        <f t="shared" si="12"/>
        <v>100</v>
      </c>
      <c r="T40" s="701" t="s">
        <v>14</v>
      </c>
      <c r="U40" s="702">
        <f t="shared" si="13"/>
        <v>100</v>
      </c>
      <c r="V40" s="701" t="s">
        <v>14</v>
      </c>
      <c r="W40" s="702">
        <f t="shared" si="14"/>
        <v>100</v>
      </c>
      <c r="X40" s="1351"/>
      <c r="Y40" s="3724"/>
      <c r="Z40" s="1352">
        <f t="shared" si="15"/>
        <v>111</v>
      </c>
      <c r="AA40" s="1349">
        <f t="shared" si="3"/>
        <v>1</v>
      </c>
      <c r="AB40" s="1349">
        <f t="shared" si="4"/>
        <v>1</v>
      </c>
      <c r="AC40" s="1349">
        <f t="shared" si="5"/>
        <v>1</v>
      </c>
    </row>
    <row r="41" spans="1:29" ht="15">
      <c r="A41" s="427" t="s">
        <v>1708</v>
      </c>
      <c r="B41" s="428"/>
      <c r="C41" s="1150" t="s">
        <v>0</v>
      </c>
      <c r="D41" s="1151"/>
      <c r="E41" s="1152">
        <v>12000</v>
      </c>
      <c r="F41" s="1153"/>
      <c r="G41" s="3498">
        <v>12000</v>
      </c>
      <c r="H41" s="1155"/>
      <c r="I41" s="1152">
        <v>12000</v>
      </c>
      <c r="J41" s="1155"/>
      <c r="K41" s="710"/>
      <c r="L41" s="922"/>
      <c r="M41" s="923"/>
      <c r="N41" s="910"/>
      <c r="O41" s="923"/>
      <c r="P41" s="3705" t="str">
        <f>A41</f>
        <v>成交单价（元/平方米）</v>
      </c>
      <c r="Q41" s="3705"/>
      <c r="R41" s="3725">
        <f>E41</f>
        <v>12000</v>
      </c>
      <c r="S41" s="3725"/>
      <c r="T41" s="3725">
        <f>G41</f>
        <v>12000</v>
      </c>
      <c r="U41" s="3725"/>
      <c r="V41" s="3725">
        <f>I41</f>
        <v>12000</v>
      </c>
      <c r="W41" s="3725"/>
      <c r="X41" s="686"/>
      <c r="Y41" s="708"/>
      <c r="Z41" s="686"/>
      <c r="AA41" s="686"/>
      <c r="AB41" s="686"/>
      <c r="AC41" s="686"/>
    </row>
    <row r="42" spans="1:29" ht="15.75" thickBot="1">
      <c r="A42" s="434" t="s">
        <v>1793</v>
      </c>
      <c r="B42" s="435"/>
      <c r="C42" s="1156">
        <f>R43</f>
        <v>11069</v>
      </c>
      <c r="D42" s="2313" t="s">
        <v>2138</v>
      </c>
      <c r="E42" s="1157">
        <f>R42</f>
        <v>11099</v>
      </c>
      <c r="F42" s="2314"/>
      <c r="G42" s="1156">
        <f>T42</f>
        <v>10678</v>
      </c>
      <c r="H42" s="2314"/>
      <c r="I42" s="1157">
        <f>V42</f>
        <v>11429</v>
      </c>
      <c r="J42" s="2314"/>
      <c r="K42" s="2316">
        <f>F42+H42+J42</f>
        <v>0</v>
      </c>
      <c r="L42" s="922"/>
      <c r="M42" s="923"/>
      <c r="N42" s="910"/>
      <c r="O42" s="923"/>
      <c r="P42" s="3705" t="str">
        <f>A42</f>
        <v>比较价值（元/平方米）</v>
      </c>
      <c r="Q42" s="3705"/>
      <c r="R42" s="3725">
        <f>IF(F1="售价",ROUND(PRODUCT(R41,AA7:AA40),0),ROUND(PRODUCT(R41,AA7:AA40),1))</f>
        <v>11099</v>
      </c>
      <c r="S42" s="3725"/>
      <c r="T42" s="3725">
        <f>IF(F1="售价",ROUND(PRODUCT(T41,AB7:AB40),0),ROUND(PRODUCT(T41,AB7:AB40),1))</f>
        <v>10678</v>
      </c>
      <c r="U42" s="3725"/>
      <c r="V42" s="3725">
        <f>IF(F1="售价",ROUND(PRODUCT(V41,AC7:AC40),0),ROUND(PRODUCT(V41,AC7:AC40),1))</f>
        <v>11429</v>
      </c>
      <c r="W42" s="3725"/>
      <c r="X42" s="686"/>
      <c r="Y42" s="686"/>
      <c r="Z42" s="686"/>
      <c r="AA42" s="686"/>
      <c r="AB42" s="686"/>
      <c r="AC42" s="686"/>
    </row>
    <row r="43" spans="1:29" ht="15.75" thickBot="1">
      <c r="A43" s="438" t="s">
        <v>1794</v>
      </c>
      <c r="B43" s="439"/>
      <c r="C43" s="1159">
        <f>R43</f>
        <v>11069</v>
      </c>
      <c r="D43" s="1159"/>
      <c r="E43" s="1159"/>
      <c r="F43" s="1159"/>
      <c r="G43" s="1159"/>
      <c r="H43" s="1159"/>
      <c r="I43" s="1159"/>
      <c r="J43" s="1159"/>
      <c r="K43" s="711"/>
      <c r="L43" s="922"/>
      <c r="M43" s="923"/>
      <c r="N43" s="923"/>
      <c r="O43" s="923"/>
      <c r="P43" s="3726" t="str">
        <f>A43</f>
        <v>估价对象XX用房的比较价值（楼面单价，元/平方米）</v>
      </c>
      <c r="Q43" s="3727"/>
      <c r="R43" s="3728">
        <f>IF(F1="售价",ROUND(IF(D42="简单平均",AVERAGE(R42:V42),R42*F42+T42*H42+V42*J42),0),ROUND(IF(D42="简单平均",AVERAGE(R42:V42),R42*F42+T42*H42+V42*J42),1))</f>
        <v>11069</v>
      </c>
      <c r="S43" s="3728"/>
      <c r="T43" s="3728"/>
      <c r="U43" s="3728"/>
      <c r="V43" s="3728"/>
      <c r="W43" s="3728"/>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1795</v>
      </c>
      <c r="D46" s="444"/>
      <c r="E46" s="445">
        <f>IF(E41&lt;E42,E42/E41-1,E41/E42-1)</f>
        <v>8.117848454815757E-2</v>
      </c>
      <c r="F46" s="446" t="str">
        <f>IF(OR(E46&gt;=0.3,E46&lt;=-0.3),"超过30%","")</f>
        <v/>
      </c>
      <c r="G46" s="445">
        <f>IF(G41&lt;G42,G42/G41-1,G41/G42-1)</f>
        <v>0.12380595617156764</v>
      </c>
      <c r="H46" s="446" t="str">
        <f>IF(OR(G46&gt;=0.3,G46&lt;=-0.3),"超过30%","")</f>
        <v/>
      </c>
      <c r="I46" s="445">
        <f>IF(I41&lt;I42,I42/I41-1,I41/I42-1)</f>
        <v>4.996062647650712E-2</v>
      </c>
      <c r="J46" s="446" t="str">
        <f>IF(OR(I46&gt;=0.3,I46&lt;=-0.3),"超过30%","")</f>
        <v/>
      </c>
      <c r="K46" s="2726"/>
      <c r="L46" s="885"/>
      <c r="M46" s="923"/>
      <c r="N46" s="923"/>
      <c r="O46" s="923"/>
    </row>
    <row r="47" spans="1:29" ht="13.5" customHeight="1">
      <c r="A47" s="2721"/>
      <c r="B47" s="2721"/>
      <c r="C47" s="443" t="s">
        <v>1796</v>
      </c>
      <c r="D47" s="447"/>
      <c r="E47" s="445">
        <f>IF(E42&lt;G42,G42/E42-1,E42/G42-1)</f>
        <v>3.942685896235254E-2</v>
      </c>
      <c r="F47" s="446" t="str">
        <f>IF(OR(E47&gt;=0.2,E47&lt;=-0.2),"超过20%","")</f>
        <v/>
      </c>
      <c r="G47" s="445">
        <f>IF(G42&lt;I42,I42/G42-1,G42/I42-1)</f>
        <v>7.0331522757070664E-2</v>
      </c>
      <c r="H47" s="446" t="str">
        <f>IF(OR(G47&gt;=0.2,G47&lt;=-0.2),"超过20%","")</f>
        <v/>
      </c>
      <c r="I47" s="445">
        <f>IF(I42&lt;E42,E42/I42-1,I42/E42-1)</f>
        <v>2.9732408325074289E-2</v>
      </c>
      <c r="J47" s="446" t="str">
        <f>IF(OR(I47&gt;=0.2,I47&lt;=-0.2),"超过20%","")</f>
        <v/>
      </c>
      <c r="K47" s="2726"/>
      <c r="L47" s="885"/>
      <c r="M47" s="923"/>
      <c r="N47" s="923"/>
      <c r="O47" s="923"/>
    </row>
    <row r="48" spans="1:29" s="448" customFormat="1" ht="13.5" customHeight="1">
      <c r="A48" s="2724"/>
      <c r="B48" s="2724"/>
      <c r="C48" s="443" t="s">
        <v>1797</v>
      </c>
      <c r="D48" s="447"/>
      <c r="E48" s="445">
        <f>IF(E41&lt;G41,G41/E41-1,E41/G41-1)</f>
        <v>0</v>
      </c>
      <c r="F48" s="446" t="str">
        <f>IF(OR(E48&gt;=0.3,E48&lt;=-0.3),"超过30%","")</f>
        <v/>
      </c>
      <c r="G48" s="445">
        <f>IF(G41&lt;I41,I41/G41-1,G41/I41-1)</f>
        <v>0</v>
      </c>
      <c r="H48" s="446" t="str">
        <f>IF(OR(G48&gt;=0.3,G48&lt;=-0.3),"超过30%","")</f>
        <v/>
      </c>
      <c r="I48" s="445">
        <f>IF(I41&lt;E41,E41/I41-1,I41/E41-1)</f>
        <v>0</v>
      </c>
      <c r="J48" s="446" t="str">
        <f>IF(OR(I48&gt;=0.3,I48&lt;=-0.3),"超过30%","")</f>
        <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6"/>
      <c r="O54" s="2767"/>
      <c r="P54" s="450"/>
      <c r="Q54" s="450"/>
    </row>
    <row r="55" spans="1:17" s="108" customFormat="1" ht="15">
      <c r="A55" s="467" t="s">
        <v>1681</v>
      </c>
      <c r="B55" s="456"/>
      <c r="C55" s="468" t="s">
        <v>1776</v>
      </c>
      <c r="D55" s="3485" t="s">
        <v>3456</v>
      </c>
      <c r="E55" s="469"/>
      <c r="F55" s="469"/>
      <c r="G55" s="469"/>
      <c r="H55" s="469"/>
      <c r="I55" s="469"/>
      <c r="J55" s="469"/>
      <c r="K55" s="469"/>
      <c r="L55" s="470"/>
      <c r="M55" s="471"/>
      <c r="N55" s="928"/>
      <c r="O55" s="928"/>
      <c r="P55" s="472"/>
      <c r="Q55" s="450"/>
    </row>
    <row r="56" spans="1:17" s="108" customFormat="1" ht="15.75" thickBot="1">
      <c r="A56" s="467"/>
      <c r="B56" s="456"/>
      <c r="C56" s="584">
        <v>100</v>
      </c>
      <c r="D56" s="458">
        <v>105</v>
      </c>
      <c r="E56" s="458"/>
      <c r="F56" s="458"/>
      <c r="G56" s="458"/>
      <c r="H56" s="458"/>
      <c r="I56" s="458"/>
      <c r="J56" s="458"/>
      <c r="K56" s="458"/>
      <c r="L56" s="458"/>
      <c r="M56" s="460"/>
      <c r="N56" s="928"/>
      <c r="O56" s="928"/>
      <c r="P56" s="450"/>
      <c r="Q56" s="450"/>
    </row>
    <row r="57" spans="1:17">
      <c r="A57" s="473" t="s">
        <v>1719</v>
      </c>
      <c r="B57" s="474" t="s">
        <v>1685</v>
      </c>
      <c r="C57" s="475" t="str">
        <f>C9</f>
        <v>工业</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3480" t="s">
        <v>3447</v>
      </c>
      <c r="D59" s="3480" t="s">
        <v>3448</v>
      </c>
      <c r="E59" s="3480" t="s">
        <v>3449</v>
      </c>
      <c r="F59" s="3480" t="s">
        <v>3450</v>
      </c>
      <c r="G59" s="3480" t="s">
        <v>3451</v>
      </c>
      <c r="H59" s="529"/>
      <c r="I59" s="529"/>
      <c r="J59" s="529"/>
      <c r="K59" s="530"/>
      <c r="L59" s="531"/>
      <c r="M59" s="532"/>
      <c r="N59" s="929"/>
      <c r="O59" s="929"/>
      <c r="P59" s="42"/>
      <c r="Q59" s="450"/>
    </row>
    <row r="60" spans="1:17" ht="15.75" thickBot="1">
      <c r="A60" s="480"/>
      <c r="B60" s="489"/>
      <c r="C60" s="482">
        <v>100</v>
      </c>
      <c r="D60" s="482">
        <f>C60-3</f>
        <v>97</v>
      </c>
      <c r="E60" s="482">
        <f t="shared" ref="E60:G60" si="17">D60-3</f>
        <v>94</v>
      </c>
      <c r="F60" s="482">
        <f t="shared" si="17"/>
        <v>91</v>
      </c>
      <c r="G60" s="482">
        <f t="shared" si="17"/>
        <v>88</v>
      </c>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8">D62&amp;"（含）"&amp;"-"&amp;E62</f>
        <v>2（含）-</v>
      </c>
      <c r="E61" s="493" t="str">
        <f t="shared" si="18"/>
        <v>（含）-</v>
      </c>
      <c r="F61" s="493" t="str">
        <f t="shared" si="18"/>
        <v>（含）-</v>
      </c>
      <c r="G61" s="493" t="str">
        <f t="shared" si="18"/>
        <v>（含）-</v>
      </c>
      <c r="H61" s="493" t="str">
        <f t="shared" si="18"/>
        <v>（含）-</v>
      </c>
      <c r="I61" s="493" t="str">
        <f t="shared" si="18"/>
        <v>（含）-</v>
      </c>
      <c r="J61" s="493" t="str">
        <f t="shared" si="18"/>
        <v>（含）-</v>
      </c>
      <c r="K61" s="493" t="str">
        <f t="shared" si="18"/>
        <v>（含）-</v>
      </c>
      <c r="L61" s="493" t="str">
        <f t="shared" si="18"/>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9">C63-$K11</f>
        <v>100</v>
      </c>
      <c r="E63" s="490">
        <f t="shared" si="19"/>
        <v>100</v>
      </c>
      <c r="F63" s="490">
        <f t="shared" si="19"/>
        <v>100</v>
      </c>
      <c r="G63" s="490">
        <f t="shared" si="19"/>
        <v>100</v>
      </c>
      <c r="H63" s="490">
        <f t="shared" si="19"/>
        <v>100</v>
      </c>
      <c r="I63" s="490">
        <f t="shared" si="19"/>
        <v>100</v>
      </c>
      <c r="J63" s="490">
        <f t="shared" si="19"/>
        <v>100</v>
      </c>
      <c r="K63" s="490">
        <f t="shared" si="19"/>
        <v>100</v>
      </c>
      <c r="L63" s="490">
        <f t="shared" si="19"/>
        <v>100</v>
      </c>
      <c r="M63" s="491">
        <f t="shared" si="19"/>
        <v>100</v>
      </c>
      <c r="N63" s="930"/>
      <c r="O63" s="930"/>
      <c r="P63" s="42"/>
      <c r="Q63" s="450"/>
    </row>
    <row r="64" spans="1:17" s="419" customFormat="1" ht="15.75" thickTop="1">
      <c r="A64" s="499"/>
      <c r="B64" s="484" t="str">
        <f>B12</f>
        <v>销售类型</v>
      </c>
      <c r="C64" s="3481" t="s">
        <v>3452</v>
      </c>
      <c r="D64" s="3481" t="s">
        <v>3453</v>
      </c>
      <c r="E64" s="500"/>
      <c r="F64" s="500"/>
      <c r="G64" s="500"/>
      <c r="H64" s="501"/>
      <c r="I64" s="501"/>
      <c r="J64" s="501"/>
      <c r="K64" s="501"/>
      <c r="L64" s="502"/>
      <c r="M64" s="503"/>
      <c r="N64" s="931"/>
      <c r="O64" s="931"/>
      <c r="P64" s="504"/>
      <c r="Q64" s="505"/>
    </row>
    <row r="65" spans="1:17" s="419" customFormat="1" ht="15.75" thickBot="1">
      <c r="A65" s="499"/>
      <c r="B65" s="489"/>
      <c r="C65" s="3482">
        <v>100</v>
      </c>
      <c r="D65" s="3483">
        <v>105</v>
      </c>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99</v>
      </c>
      <c r="E77" s="490">
        <f>D77-$K21</f>
        <v>98</v>
      </c>
      <c r="F77" s="490">
        <f>E77-$K21</f>
        <v>97</v>
      </c>
      <c r="G77" s="490">
        <f>F77-$K21</f>
        <v>96</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1694</v>
      </c>
      <c r="B88" s="474" t="s">
        <v>1736</v>
      </c>
      <c r="C88" s="3488" t="s">
        <v>3465</v>
      </c>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20">C89-$K29</f>
        <v>98</v>
      </c>
      <c r="E89" s="490">
        <f t="shared" si="20"/>
        <v>96</v>
      </c>
      <c r="F89" s="490">
        <f t="shared" si="20"/>
        <v>94</v>
      </c>
      <c r="G89" s="490">
        <f t="shared" si="20"/>
        <v>92</v>
      </c>
      <c r="H89" s="490">
        <f t="shared" si="20"/>
        <v>90</v>
      </c>
      <c r="I89" s="490">
        <f t="shared" si="20"/>
        <v>88</v>
      </c>
      <c r="J89" s="490">
        <f t="shared" si="20"/>
        <v>86</v>
      </c>
      <c r="K89" s="490">
        <f t="shared" si="20"/>
        <v>84</v>
      </c>
      <c r="L89" s="490">
        <f t="shared" si="20"/>
        <v>82</v>
      </c>
      <c r="M89" s="491">
        <f t="shared" si="20"/>
        <v>80</v>
      </c>
      <c r="N89" s="930"/>
      <c r="O89" s="930"/>
      <c r="P89" s="42"/>
      <c r="Q89" s="450"/>
    </row>
    <row r="90" spans="1:17" ht="29.25" thickTop="1">
      <c r="A90" s="480"/>
      <c r="B90" s="484" t="s">
        <v>1737</v>
      </c>
      <c r="C90" s="524" t="str">
        <f>C91&amp;"(含)"&amp;"-"&amp;D91</f>
        <v>0(含)-500</v>
      </c>
      <c r="D90" s="524" t="str">
        <f t="shared" ref="D90:L90" si="21">D91&amp;"(含)"&amp;"-"&amp;E91</f>
        <v>500(含)-1000</v>
      </c>
      <c r="E90" s="524" t="str">
        <f t="shared" si="21"/>
        <v>1000(含)-1500</v>
      </c>
      <c r="F90" s="524" t="str">
        <f t="shared" si="21"/>
        <v>1500(含)-2000</v>
      </c>
      <c r="G90" s="524" t="str">
        <f t="shared" si="21"/>
        <v>2000(含)-</v>
      </c>
      <c r="H90" s="524" t="str">
        <f t="shared" si="21"/>
        <v>(含)-</v>
      </c>
      <c r="I90" s="524" t="str">
        <f t="shared" si="21"/>
        <v>(含)-</v>
      </c>
      <c r="J90" s="524" t="str">
        <f t="shared" si="21"/>
        <v>(含)-</v>
      </c>
      <c r="K90" s="524" t="str">
        <f t="shared" si="21"/>
        <v>(含)-</v>
      </c>
      <c r="L90" s="524" t="str">
        <f t="shared" si="21"/>
        <v>(含)-</v>
      </c>
      <c r="M90" s="567" t="str">
        <f>M91&amp;"(含)"&amp;"-"&amp;P91</f>
        <v>(含)-</v>
      </c>
      <c r="N90" s="928"/>
      <c r="O90" s="928"/>
      <c r="P90" s="42"/>
      <c r="Q90" s="450"/>
    </row>
    <row r="91" spans="1:17" s="419" customFormat="1">
      <c r="A91" s="539"/>
      <c r="B91" s="540"/>
      <c r="C91" s="6">
        <v>0</v>
      </c>
      <c r="D91" s="6">
        <v>500</v>
      </c>
      <c r="E91" s="6">
        <v>1000</v>
      </c>
      <c r="F91" s="6">
        <v>1500</v>
      </c>
      <c r="G91" s="6">
        <v>2000</v>
      </c>
      <c r="H91" s="541"/>
      <c r="I91" s="541"/>
      <c r="J91" s="542"/>
      <c r="K91" s="542"/>
      <c r="L91" s="543"/>
      <c r="M91" s="544"/>
      <c r="N91" s="931"/>
      <c r="O91" s="931"/>
      <c r="P91" s="504"/>
      <c r="Q91" s="505"/>
    </row>
    <row r="92" spans="1:17" s="419" customFormat="1" ht="15.75" thickBot="1">
      <c r="A92" s="499"/>
      <c r="B92" s="489"/>
      <c r="C92" s="3482">
        <v>100</v>
      </c>
      <c r="D92" s="3483">
        <f>C92-1</f>
        <v>99</v>
      </c>
      <c r="E92" s="3483">
        <f t="shared" ref="E92:G92" si="22">D92-1</f>
        <v>98</v>
      </c>
      <c r="F92" s="3483">
        <f t="shared" si="22"/>
        <v>97</v>
      </c>
      <c r="G92" s="3483">
        <f t="shared" si="22"/>
        <v>96</v>
      </c>
      <c r="H92" s="482"/>
      <c r="I92" s="482"/>
      <c r="J92" s="482"/>
      <c r="K92" s="482"/>
      <c r="L92" s="482"/>
      <c r="M92" s="483"/>
      <c r="N92" s="930"/>
      <c r="O92" s="930"/>
      <c r="P92" s="504"/>
      <c r="Q92" s="505"/>
    </row>
    <row r="93" spans="1:17" ht="15" thickTop="1">
      <c r="A93" s="545"/>
      <c r="B93" s="484" t="s">
        <v>1738</v>
      </c>
      <c r="C93" s="3489" t="s">
        <v>3466</v>
      </c>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3">C94-$K31</f>
        <v>99</v>
      </c>
      <c r="E94" s="490">
        <f t="shared" si="23"/>
        <v>98</v>
      </c>
      <c r="F94" s="490">
        <f t="shared" si="23"/>
        <v>97</v>
      </c>
      <c r="G94" s="490">
        <f t="shared" si="23"/>
        <v>96</v>
      </c>
      <c r="H94" s="490">
        <f t="shared" si="23"/>
        <v>95</v>
      </c>
      <c r="I94" s="490">
        <f t="shared" si="23"/>
        <v>94</v>
      </c>
      <c r="J94" s="490">
        <f t="shared" si="23"/>
        <v>93</v>
      </c>
      <c r="K94" s="490">
        <f t="shared" si="23"/>
        <v>92</v>
      </c>
      <c r="L94" s="490">
        <f t="shared" si="23"/>
        <v>91</v>
      </c>
      <c r="M94" s="491">
        <f t="shared" si="23"/>
        <v>90</v>
      </c>
      <c r="N94" s="930"/>
      <c r="O94" s="930"/>
      <c r="P94" s="42"/>
      <c r="Q94" s="450"/>
    </row>
    <row r="95" spans="1:17" ht="15" thickTop="1">
      <c r="A95" s="545"/>
      <c r="B95" s="484" t="s">
        <v>1740</v>
      </c>
      <c r="C95" s="3490" t="s">
        <v>3467</v>
      </c>
      <c r="D95" s="3490" t="s">
        <v>3468</v>
      </c>
      <c r="E95" s="3490" t="s">
        <v>3469</v>
      </c>
      <c r="F95" s="3491" t="s">
        <v>3470</v>
      </c>
      <c r="G95" s="529"/>
      <c r="H95" s="529"/>
      <c r="I95" s="529"/>
      <c r="J95" s="529"/>
      <c r="K95" s="530"/>
      <c r="L95" s="531"/>
      <c r="M95" s="532"/>
      <c r="N95" s="929"/>
      <c r="O95" s="929"/>
      <c r="P95" s="42"/>
      <c r="Q95" s="450"/>
    </row>
    <row r="96" spans="1:17" ht="15.75" thickBot="1">
      <c r="A96" s="480"/>
      <c r="B96" s="489"/>
      <c r="C96" s="490">
        <v>100</v>
      </c>
      <c r="D96" s="490">
        <f t="shared" ref="D96:M96" si="24">C96-$K32</f>
        <v>99</v>
      </c>
      <c r="E96" s="490">
        <f t="shared" si="24"/>
        <v>98</v>
      </c>
      <c r="F96" s="490">
        <f t="shared" si="24"/>
        <v>97</v>
      </c>
      <c r="G96" s="490">
        <f t="shared" si="24"/>
        <v>96</v>
      </c>
      <c r="H96" s="490">
        <f t="shared" si="24"/>
        <v>95</v>
      </c>
      <c r="I96" s="490">
        <f t="shared" si="24"/>
        <v>94</v>
      </c>
      <c r="J96" s="490">
        <f t="shared" si="24"/>
        <v>93</v>
      </c>
      <c r="K96" s="490">
        <f t="shared" si="24"/>
        <v>92</v>
      </c>
      <c r="L96" s="490">
        <f t="shared" si="24"/>
        <v>91</v>
      </c>
      <c r="M96" s="491">
        <f t="shared" si="24"/>
        <v>90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30"/>
      <c r="O99" s="930"/>
      <c r="P99" s="42"/>
      <c r="Q99" s="450"/>
    </row>
    <row r="100" spans="1:17" s="419" customFormat="1" ht="15" thickTop="1">
      <c r="A100" s="539"/>
      <c r="B100" s="484" t="s">
        <v>1741</v>
      </c>
      <c r="C100" s="3489" t="s">
        <v>3472</v>
      </c>
      <c r="D100" s="3489" t="s">
        <v>3473</v>
      </c>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99</v>
      </c>
      <c r="E101" s="490">
        <f t="shared" ref="E101:M101" si="26">D101-$K34</f>
        <v>98</v>
      </c>
      <c r="F101" s="490">
        <f t="shared" si="26"/>
        <v>97</v>
      </c>
      <c r="G101" s="490">
        <f t="shared" si="26"/>
        <v>96</v>
      </c>
      <c r="H101" s="490">
        <f t="shared" si="26"/>
        <v>95</v>
      </c>
      <c r="I101" s="490">
        <f t="shared" si="26"/>
        <v>94</v>
      </c>
      <c r="J101" s="490">
        <f t="shared" si="26"/>
        <v>93</v>
      </c>
      <c r="K101" s="490">
        <f t="shared" si="26"/>
        <v>92</v>
      </c>
      <c r="L101" s="490">
        <f t="shared" si="26"/>
        <v>91</v>
      </c>
      <c r="M101" s="490">
        <f t="shared" si="26"/>
        <v>90</v>
      </c>
      <c r="N101" s="931"/>
      <c r="O101" s="931"/>
      <c r="P101" s="504"/>
      <c r="Q101" s="505"/>
    </row>
    <row r="102" spans="1:17" ht="15" thickTop="1">
      <c r="A102" s="545"/>
      <c r="B102" s="484" t="s">
        <v>1742</v>
      </c>
      <c r="C102" s="3489" t="s">
        <v>3474</v>
      </c>
      <c r="D102" s="3489" t="s">
        <v>3475</v>
      </c>
      <c r="E102" s="3489" t="s">
        <v>3477</v>
      </c>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30"/>
      <c r="O103" s="930"/>
      <c r="P103" s="42"/>
      <c r="Q103" s="450"/>
    </row>
    <row r="104" spans="1:17" ht="15" thickTop="1">
      <c r="A104" s="545"/>
      <c r="B104" s="484" t="s">
        <v>1744</v>
      </c>
      <c r="C104" s="3490" t="s">
        <v>3467</v>
      </c>
      <c r="D104" s="3490" t="s">
        <v>3468</v>
      </c>
      <c r="E104" s="3490" t="s">
        <v>3469</v>
      </c>
      <c r="F104" s="3491" t="s">
        <v>3470</v>
      </c>
      <c r="G104" s="500"/>
      <c r="H104" s="529"/>
      <c r="I104" s="529"/>
      <c r="J104" s="529"/>
      <c r="K104" s="530"/>
      <c r="L104" s="531"/>
      <c r="M104" s="532"/>
      <c r="N104" s="929"/>
      <c r="O104" s="929"/>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8">C107-$K37</f>
        <v>99</v>
      </c>
      <c r="E107" s="490">
        <f t="shared" si="28"/>
        <v>98</v>
      </c>
      <c r="F107" s="490">
        <f t="shared" si="28"/>
        <v>97</v>
      </c>
      <c r="G107" s="490">
        <f t="shared" si="28"/>
        <v>96</v>
      </c>
      <c r="H107" s="490">
        <f t="shared" si="28"/>
        <v>95</v>
      </c>
      <c r="I107" s="490">
        <f t="shared" si="28"/>
        <v>94</v>
      </c>
      <c r="J107" s="490">
        <f t="shared" si="28"/>
        <v>93</v>
      </c>
      <c r="K107" s="490">
        <f t="shared" si="28"/>
        <v>92</v>
      </c>
      <c r="L107" s="490">
        <f t="shared" si="28"/>
        <v>91</v>
      </c>
      <c r="M107" s="490">
        <f t="shared" si="28"/>
        <v>90</v>
      </c>
      <c r="N107" s="930"/>
      <c r="O107" s="930"/>
      <c r="P107" s="42"/>
      <c r="Q107" s="450"/>
    </row>
    <row r="108" spans="1:17" s="419" customFormat="1" ht="15" thickTop="1">
      <c r="A108" s="539"/>
      <c r="B108" s="484">
        <f>B38</f>
        <v>0</v>
      </c>
      <c r="C108" s="3489" t="s">
        <v>3480</v>
      </c>
      <c r="D108" s="3489" t="s">
        <v>3481</v>
      </c>
      <c r="E108" s="500"/>
      <c r="F108" s="500"/>
      <c r="G108" s="500"/>
      <c r="H108" s="501"/>
      <c r="I108" s="501"/>
      <c r="J108" s="501"/>
      <c r="K108" s="501"/>
      <c r="L108" s="502"/>
      <c r="M108" s="503"/>
      <c r="N108" s="931"/>
      <c r="O108" s="931"/>
      <c r="P108" s="504"/>
      <c r="Q108" s="505"/>
    </row>
    <row r="109" spans="1:17" s="419" customFormat="1" ht="15.75" thickBot="1">
      <c r="A109" s="499"/>
      <c r="B109" s="481"/>
      <c r="C109" s="506">
        <v>100</v>
      </c>
      <c r="D109" s="482">
        <v>95</v>
      </c>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26.7</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f ca="1">ROUND(D2/10000,4)</f>
        <v>160.07310000000001</v>
      </c>
      <c r="C2" s="1383" t="s">
        <v>879</v>
      </c>
      <c r="D2" s="1467">
        <f ca="1">C40+J29+L46</f>
        <v>1600731</v>
      </c>
      <c r="E2" s="1384" t="s">
        <v>880</v>
      </c>
      <c r="F2" s="1385"/>
      <c r="G2" s="2702"/>
      <c r="H2" s="2691"/>
      <c r="I2" s="2691"/>
      <c r="J2" s="2691"/>
      <c r="K2" s="2692"/>
      <c r="L2" s="2691"/>
      <c r="M2" s="2691"/>
    </row>
    <row r="3" spans="1:37" ht="18" customHeight="1" thickBot="1">
      <c r="A3" s="1386" t="s">
        <v>881</v>
      </c>
      <c r="B3" s="1387">
        <f ca="1">IF(ISERROR(D2/F43),0,ROUND(D2/F43,0))</f>
        <v>5173</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122125</v>
      </c>
      <c r="D5" s="1360" t="s">
        <v>889</v>
      </c>
      <c r="E5" s="1067"/>
      <c r="F5" s="1068"/>
      <c r="G5" s="1380"/>
      <c r="H5" s="296">
        <v>1</v>
      </c>
      <c r="I5" s="297" t="s">
        <v>888</v>
      </c>
      <c r="J5" s="1066">
        <f ca="1">J6+J10+J12</f>
        <v>0</v>
      </c>
      <c r="K5" s="1360" t="s">
        <v>889</v>
      </c>
      <c r="L5" s="1067"/>
      <c r="M5" s="1068"/>
    </row>
    <row r="6" spans="1:37" ht="18" customHeight="1">
      <c r="A6" s="1065" t="s">
        <v>398</v>
      </c>
      <c r="B6" s="3687" t="s">
        <v>694</v>
      </c>
      <c r="C6" s="1070">
        <f ca="1">ROUND(F6*F8*F7*(1-F9),0)</f>
        <v>121973</v>
      </c>
      <c r="D6" s="152" t="s">
        <v>2106</v>
      </c>
      <c r="E6" s="299" t="s">
        <v>696</v>
      </c>
      <c r="F6" s="300">
        <f ca="1">INDIRECT("'数据-取费表'!u"&amp;$G$1)</f>
        <v>1.2</v>
      </c>
      <c r="G6" s="1380"/>
      <c r="H6" s="1065" t="s">
        <v>398</v>
      </c>
      <c r="I6" s="3687" t="s">
        <v>694</v>
      </c>
      <c r="J6" s="298">
        <f ca="1">ROUND(M6*M8*M7*(1-M9),0)</f>
        <v>0</v>
      </c>
      <c r="K6" s="1372" t="s">
        <v>2107</v>
      </c>
      <c r="L6" s="299" t="s">
        <v>696</v>
      </c>
      <c r="M6" s="300">
        <f ca="1">INDIRECT("'数据-取费表'!z"&amp;$G$1)</f>
        <v>0</v>
      </c>
    </row>
    <row r="7" spans="1:37" ht="18" customHeight="1">
      <c r="A7" s="1069"/>
      <c r="B7" s="3688"/>
      <c r="C7" s="1071"/>
      <c r="D7" s="304"/>
      <c r="E7" s="1072" t="s">
        <v>697</v>
      </c>
      <c r="F7" s="300">
        <f ca="1">IF(INDIRECT("'数据-取费表'!ah"&amp;$G$1)="",INDIRECT("'数据-取费表'!k"&amp;$G$1),INDIRECT("'数据-取费表'!ah"&amp;$G$1))</f>
        <v>309.42</v>
      </c>
      <c r="G7" s="1380"/>
      <c r="H7" s="301"/>
      <c r="I7" s="3688"/>
      <c r="J7" s="303"/>
      <c r="K7" s="304"/>
      <c r="L7" s="299" t="s">
        <v>697</v>
      </c>
      <c r="M7" s="300">
        <f ca="1">F7</f>
        <v>309.42</v>
      </c>
    </row>
    <row r="8" spans="1:37" ht="18" customHeight="1">
      <c r="A8" s="301"/>
      <c r="B8" s="3688"/>
      <c r="C8" s="303"/>
      <c r="D8" s="304"/>
      <c r="E8" s="299" t="s">
        <v>698</v>
      </c>
      <c r="F8" s="300">
        <f ca="1">INDIRECT("'数据-取费表'!ai"&amp;$G$1)</f>
        <v>365</v>
      </c>
      <c r="G8" s="1380"/>
      <c r="H8" s="301"/>
      <c r="I8" s="3688"/>
      <c r="J8" s="303"/>
      <c r="K8" s="304"/>
      <c r="L8" s="299" t="s">
        <v>698</v>
      </c>
      <c r="M8" s="300">
        <f ca="1">INDIRECT("'数据-取费表'!ai"&amp;$G$1)</f>
        <v>365</v>
      </c>
    </row>
    <row r="9" spans="1:37" ht="18" customHeight="1">
      <c r="A9" s="301"/>
      <c r="B9" s="3689"/>
      <c r="C9" s="303"/>
      <c r="D9" s="304"/>
      <c r="E9" s="299" t="s">
        <v>699</v>
      </c>
      <c r="F9" s="309">
        <f ca="1">INDIRECT("'数据-取费表'!w"&amp;$G$1)</f>
        <v>0.1</v>
      </c>
      <c r="G9" s="1380"/>
      <c r="H9" s="301"/>
      <c r="I9" s="3689"/>
      <c r="J9" s="303"/>
      <c r="K9" s="304"/>
      <c r="L9" s="310" t="s">
        <v>699</v>
      </c>
      <c r="M9" s="311">
        <f ca="1">INDIRECT("'数据-取费表'!ab"&amp;$G$1)</f>
        <v>0</v>
      </c>
    </row>
    <row r="10" spans="1:37" ht="18" customHeight="1">
      <c r="A10" s="1065" t="s">
        <v>402</v>
      </c>
      <c r="B10" s="1361" t="s">
        <v>700</v>
      </c>
      <c r="C10" s="313">
        <f ca="1">ROUND(IF(F10="押一",C6/12*F11,IF(F10="押二",C6/12*2*F11,IF(F10="押三",C6/12*3*F11,C11*F11))),0)</f>
        <v>152</v>
      </c>
      <c r="D10" s="1362" t="s">
        <v>2116</v>
      </c>
      <c r="E10" s="310" t="s">
        <v>701</v>
      </c>
      <c r="F10" s="1112" t="s">
        <v>3434</v>
      </c>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1534911</v>
      </c>
      <c r="D13" s="1077" t="s">
        <v>705</v>
      </c>
      <c r="E13" s="1077"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1237680</v>
      </c>
      <c r="D14" s="1341" t="s">
        <v>708</v>
      </c>
      <c r="E14" s="1338"/>
      <c r="F14" s="316"/>
      <c r="G14" s="1380"/>
      <c r="H14" s="978" t="s">
        <v>398</v>
      </c>
      <c r="I14" s="299" t="s">
        <v>709</v>
      </c>
      <c r="J14" s="21">
        <f ca="1">C29</f>
        <v>1744217</v>
      </c>
      <c r="K14" s="12"/>
      <c r="L14" s="803"/>
      <c r="M14" s="804"/>
    </row>
    <row r="15" spans="1:37" s="1393" customFormat="1" ht="18" customHeight="1" thickBot="1">
      <c r="A15" s="978" t="s">
        <v>399</v>
      </c>
      <c r="B15" s="299" t="s">
        <v>710</v>
      </c>
      <c r="C15" s="21">
        <f ca="1">ROUND(C14*F15,0)</f>
        <v>61884</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5233</v>
      </c>
      <c r="K16" s="1083" t="s">
        <v>715</v>
      </c>
      <c r="L16" s="1084"/>
      <c r="M16" s="1068"/>
    </row>
    <row r="17" spans="1:37" s="1393" customFormat="1" ht="18" customHeight="1">
      <c r="A17" s="978" t="s">
        <v>681</v>
      </c>
      <c r="B17" s="299" t="s">
        <v>716</v>
      </c>
      <c r="C17" s="21">
        <f ca="1">ROUND(F17*(F43+INDIRECT("'数据-取费表'!S"&amp;$G$1)),0)</f>
        <v>61884</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24754</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1386202</v>
      </c>
      <c r="D19" s="128" t="s">
        <v>726</v>
      </c>
      <c r="E19" s="1356"/>
      <c r="F19" s="23"/>
      <c r="G19" s="1380"/>
      <c r="H19" s="978" t="s">
        <v>399</v>
      </c>
      <c r="I19" s="299" t="s">
        <v>727</v>
      </c>
      <c r="J19" s="21">
        <f ca="1">IF(K19="按租金收入计税",ROUND(J6*M19/(1+'数据-取费表'!C42),0),ROUND(C29*M19*0.7,0))</f>
        <v>0</v>
      </c>
      <c r="K19" s="1366" t="s">
        <v>3336</v>
      </c>
      <c r="L19" s="299" t="s">
        <v>712</v>
      </c>
      <c r="M19" s="319">
        <f>IF(K19="按租金收入计税",'数据-取费表'!B51,'数据-取费表'!B50)</f>
        <v>0.12</v>
      </c>
    </row>
    <row r="20" spans="1:37" s="1393" customFormat="1" ht="18" customHeight="1">
      <c r="A20" s="978" t="s">
        <v>402</v>
      </c>
      <c r="B20" s="299" t="s">
        <v>728</v>
      </c>
      <c r="C20" s="21">
        <f ca="1">ROUND(C19*F20,0)</f>
        <v>41586</v>
      </c>
      <c r="D20" s="320" t="s">
        <v>729</v>
      </c>
      <c r="E20" s="299" t="s">
        <v>712</v>
      </c>
      <c r="F20" s="319">
        <f>'数据-取费表'!B37</f>
        <v>0.03</v>
      </c>
      <c r="G20" s="1392"/>
      <c r="H20" s="978" t="s">
        <v>680</v>
      </c>
      <c r="I20" s="152" t="s">
        <v>730</v>
      </c>
      <c r="J20" s="22">
        <f ca="1">ROUND(M20*M21,0)</f>
        <v>0</v>
      </c>
      <c r="K20" s="321" t="s">
        <v>731</v>
      </c>
      <c r="L20" s="299" t="s">
        <v>732</v>
      </c>
      <c r="M20" s="322">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1356"/>
      <c r="F22" s="23"/>
      <c r="G22" s="1380"/>
      <c r="H22" s="978" t="s">
        <v>402</v>
      </c>
      <c r="I22" s="299" t="s">
        <v>738</v>
      </c>
      <c r="J22" s="21">
        <f ca="1">ROUND(J14*M22,0)</f>
        <v>5233</v>
      </c>
      <c r="K22" s="1340" t="s">
        <v>739</v>
      </c>
      <c r="L22" s="299" t="s">
        <v>712</v>
      </c>
      <c r="M22" s="325">
        <f ca="1">INDIRECT("'数据-取费表'!Ak"&amp;$G$1)</f>
        <v>3.0000000000000001E-3</v>
      </c>
    </row>
    <row r="23" spans="1:37" s="1393" customFormat="1" ht="18" customHeight="1">
      <c r="A23" s="978" t="s">
        <v>397</v>
      </c>
      <c r="B23" s="299" t="s">
        <v>740</v>
      </c>
      <c r="C23" s="21">
        <f ca="1">IF('数据-取费表'!B22&lt;=1,ROUND(C19*F24*F23/2,0)+ROUND(C20*F24*F23/2,0),ROUND(C19*(POWER((1+F24),F23/2)-1),0)+ROUND(C20*(POWER((1+F24),F23/2)-1),0))</f>
        <v>42834</v>
      </c>
      <c r="D23" s="326" t="str">
        <f>IF(F23&lt;=1,"(建造成本+管理费用)×利率×(建设周期÷2)","(建造成本+管理费用)×((1+利率)^(建设周期÷2)-1)")</f>
        <v>(建造成本+管理费用)×((1+利率)^(建设周期÷2)-1)</v>
      </c>
      <c r="E23" s="299" t="s">
        <v>741</v>
      </c>
      <c r="F23" s="322">
        <f>'数据-取费表'!B20</f>
        <v>2</v>
      </c>
      <c r="G23" s="1392"/>
      <c r="H23" s="978" t="s">
        <v>437</v>
      </c>
      <c r="I23" s="299" t="s">
        <v>742</v>
      </c>
      <c r="J23" s="21">
        <f ca="1">ROUND(J13*M23,0)</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5.9999999999999995E-4</v>
      </c>
      <c r="D24" s="326" t="str">
        <f>IF(F23&lt;=1,"销售费用×利率×(建设周期÷2)","销售费用×((1+利率)^(建设周期÷2)-1)")</f>
        <v>销售费用×((1+利率)^(建设周期÷2)-1)</v>
      </c>
      <c r="E24" s="299" t="s">
        <v>747</v>
      </c>
      <c r="F24" s="328">
        <f ca="1">'数据-取费表'!B40</f>
        <v>0.03</v>
      </c>
      <c r="G24" s="1392"/>
      <c r="H24" s="1085" t="s">
        <v>684</v>
      </c>
      <c r="I24" s="1086" t="s">
        <v>728</v>
      </c>
      <c r="J24" s="1087">
        <f ca="1">ROUND(J5*M24,0)</f>
        <v>0</v>
      </c>
      <c r="K24" s="1088" t="s">
        <v>748</v>
      </c>
      <c r="L24" s="1086" t="s">
        <v>744</v>
      </c>
      <c r="M24" s="1082">
        <f ca="1">INDIRECT("'数据-取费表'!Am"&amp;$G$1)</f>
        <v>0.02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-5233</v>
      </c>
      <c r="K25" s="1091" t="s">
        <v>753</v>
      </c>
      <c r="L25" s="1092"/>
      <c r="M25" s="1093"/>
    </row>
    <row r="26" spans="1:37" ht="18" customHeight="1">
      <c r="A26" s="978" t="s">
        <v>397</v>
      </c>
      <c r="B26" s="299" t="s">
        <v>754</v>
      </c>
      <c r="C26" s="21">
        <f ca="1">ROUND((C19+C20)*F26,0)</f>
        <v>142779</v>
      </c>
      <c r="D26" s="320" t="s">
        <v>755</v>
      </c>
      <c r="E26" s="310" t="s">
        <v>756</v>
      </c>
      <c r="F26" s="309">
        <f ca="1">INDIRECT("'数据-取费表'!q"&amp;$G$1)</f>
        <v>0.1</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2E-3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1744217</v>
      </c>
      <c r="D29" s="1088"/>
      <c r="E29" s="1086"/>
      <c r="F29" s="1089"/>
      <c r="G29" s="1392"/>
      <c r="H29" s="331" t="s">
        <v>396</v>
      </c>
      <c r="I29" s="332" t="s">
        <v>768</v>
      </c>
      <c r="J29" s="333">
        <f ca="1">ROUND(J26/(1+F40)^F41,0)</f>
        <v>0</v>
      </c>
      <c r="K29" s="334" t="s">
        <v>769</v>
      </c>
      <c r="L29" s="335"/>
      <c r="M29" s="336">
        <f ca="1">INDIRECT("'数据-取费表'!k"&amp;$G$1)</f>
        <v>309.42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29540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20329</v>
      </c>
      <c r="D31" s="1341" t="s">
        <v>720</v>
      </c>
      <c r="E31" s="1340" t="s">
        <v>770</v>
      </c>
      <c r="F31" s="2311" t="str">
        <f>IF(项目基本情况!B11="企业","——",IF(M47="住宅",IF(F6*F7*F8/12/(1+'数据-取费表'!F30)&gt;100000,4%,2.5%),IF(F6*F7*F8/12/(1+'数据-取费表'!F30)&gt;100000,12%,7%)))</f>
        <v>——</v>
      </c>
      <c r="G31" s="1380"/>
      <c r="H31" s="2804" t="s">
        <v>2306</v>
      </c>
      <c r="I31" s="1394"/>
      <c r="J31" s="1395"/>
      <c r="K31" s="2471"/>
      <c r="L31" s="2694"/>
      <c r="M31" s="2695"/>
    </row>
    <row r="32" spans="1:37" ht="18" customHeight="1">
      <c r="A32" s="978" t="s">
        <v>397</v>
      </c>
      <c r="B32" s="299" t="s">
        <v>723</v>
      </c>
      <c r="C32" s="21">
        <f ca="1">IF(项目基本情况!B11="自然人","——",ROUND(C6*F32/(1+'数据-取费表'!C42),0))</f>
        <v>6389</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13940</v>
      </c>
      <c r="D33" s="1366" t="s">
        <v>3336</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0</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5233</v>
      </c>
      <c r="D36" s="1340" t="s">
        <v>771</v>
      </c>
      <c r="E36" s="299" t="s">
        <v>712</v>
      </c>
      <c r="F36" s="325">
        <f ca="1">INDIRECT("'数据-取费表'!Ak"&amp;$G$1)</f>
        <v>3.0000000000000001E-3</v>
      </c>
      <c r="G36" s="1380"/>
      <c r="H36" s="2696"/>
      <c r="I36" s="1394"/>
      <c r="J36" s="1395"/>
      <c r="K36" s="2540"/>
      <c r="L36" s="2696"/>
      <c r="M36" s="2696"/>
    </row>
    <row r="37" spans="1:18" ht="18" customHeight="1">
      <c r="A37" s="978" t="s">
        <v>437</v>
      </c>
      <c r="B37" s="299" t="s">
        <v>742</v>
      </c>
      <c r="C37" s="21">
        <f ca="1">ROUND(C13*F37,0)</f>
        <v>1535</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ROUND(C5*F38,0)</f>
        <v>2443</v>
      </c>
      <c r="D38" s="1088" t="s">
        <v>748</v>
      </c>
      <c r="E38" s="1086" t="s">
        <v>744</v>
      </c>
      <c r="F38" s="1082">
        <f ca="1">INDIRECT("'数据-取费表'!Am"&amp;$G$1)</f>
        <v>0.02</v>
      </c>
      <c r="G38" s="1380"/>
      <c r="H38" s="2696">
        <f ca="1">C38/C36</f>
        <v>0.46684502197592204</v>
      </c>
      <c r="I38" s="1394"/>
      <c r="J38" s="1395"/>
      <c r="K38" s="2700"/>
      <c r="L38" s="2696"/>
      <c r="M38" s="2696"/>
    </row>
    <row r="39" spans="1:18" ht="24.6" customHeight="1" thickTop="1">
      <c r="A39" s="1075" t="s">
        <v>394</v>
      </c>
      <c r="B39" s="1090" t="s">
        <v>772</v>
      </c>
      <c r="C39" s="307">
        <f ca="1">C5-C30</f>
        <v>92585</v>
      </c>
      <c r="D39" s="1091" t="s">
        <v>773</v>
      </c>
      <c r="E39" s="1092"/>
      <c r="F39" s="1093"/>
      <c r="G39" s="1380"/>
      <c r="H39" s="2696"/>
      <c r="I39" s="1394"/>
      <c r="J39" s="1395"/>
      <c r="K39" s="2700"/>
      <c r="L39" s="2696"/>
      <c r="M39" s="2696"/>
    </row>
    <row r="40" spans="1:18" ht="18" customHeight="1">
      <c r="A40" s="296" t="s">
        <v>395</v>
      </c>
      <c r="B40" s="297" t="s">
        <v>774</v>
      </c>
      <c r="C40" s="298">
        <f ca="1">ROUND(C39*(1-((1+F42)/(1+F40))^F41)/(F40-F42),0)</f>
        <v>1489949</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26.7</v>
      </c>
      <c r="G41" s="1380"/>
      <c r="H41" s="1187"/>
      <c r="I41" s="1394"/>
      <c r="J41" s="1395"/>
      <c r="K41" s="2540"/>
      <c r="L41" s="1187"/>
      <c r="M41" s="1187"/>
    </row>
    <row r="42" spans="1:18" ht="18" customHeight="1">
      <c r="A42" s="305"/>
      <c r="B42" s="306"/>
      <c r="C42" s="307"/>
      <c r="D42" s="324"/>
      <c r="E42" s="299" t="s">
        <v>766</v>
      </c>
      <c r="F42" s="309">
        <f ca="1">INDIRECT("'数据-取费表'!v"&amp;$G$1)</f>
        <v>1.4999999999999999E-2</v>
      </c>
      <c r="G42" s="1380"/>
      <c r="H42" s="1187"/>
      <c r="I42" s="1394"/>
      <c r="J42" s="1395"/>
      <c r="K42" s="2540"/>
      <c r="L42" s="1187"/>
      <c r="M42" s="1187"/>
    </row>
    <row r="43" spans="1:18" ht="18" customHeight="1" thickBot="1">
      <c r="A43" s="331" t="s">
        <v>396</v>
      </c>
      <c r="B43" s="332" t="s">
        <v>776</v>
      </c>
      <c r="C43" s="333">
        <f ca="1">ROUND(C40/F43,0)</f>
        <v>4815</v>
      </c>
      <c r="D43" s="334" t="s">
        <v>777</v>
      </c>
      <c r="E43" s="335" t="s">
        <v>778</v>
      </c>
      <c r="F43" s="336">
        <f ca="1">INDIRECT("'数据-取费表'!k"&amp;$G$1)</f>
        <v>309.42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3352</v>
      </c>
      <c r="B45" s="1396"/>
      <c r="C45" s="1468">
        <f ca="1">ROUND((C68-C40)/10000,4)</f>
        <v>-158.35419999999999</v>
      </c>
      <c r="D45" s="3428" t="s">
        <v>3353</v>
      </c>
      <c r="E45" s="1396"/>
      <c r="F45" s="1396"/>
      <c r="O45" s="1399" t="s">
        <v>808</v>
      </c>
      <c r="P45" s="1457"/>
      <c r="Q45" s="1457"/>
      <c r="R45" s="1457"/>
    </row>
    <row r="46" spans="1:18" s="1380" customFormat="1" ht="13.5" thickBot="1">
      <c r="A46" s="1400" t="s">
        <v>809</v>
      </c>
      <c r="C46" s="1401">
        <f ca="1">ROUND(C45,0)</f>
        <v>-158</v>
      </c>
      <c r="D46" s="1402" t="str">
        <f>C2</f>
        <v>万元</v>
      </c>
      <c r="I46" s="1403" t="s">
        <v>810</v>
      </c>
      <c r="J46" s="1404"/>
      <c r="K46" s="1405"/>
      <c r="L46" s="1406">
        <f ca="1">IF(M47="住宅",0,IF(L48&gt;J51,L60,J60))</f>
        <v>110782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3435</v>
      </c>
      <c r="K47" s="1412" t="s">
        <v>816</v>
      </c>
      <c r="L47" s="1413">
        <f ca="1">INDIRECT("'数据-取费表'!d"&amp;$G$1)</f>
        <v>50</v>
      </c>
      <c r="M47" s="1376" t="str">
        <f>IF(ISNUMBER(FIND("住宅",C1)),"住宅","非住宅")</f>
        <v>非住宅</v>
      </c>
      <c r="O47" s="1414" t="s">
        <v>403</v>
      </c>
      <c r="P47" s="1415" t="s">
        <v>817</v>
      </c>
      <c r="Q47" s="1416">
        <f ca="1">C40+J29</f>
        <v>1489949</v>
      </c>
      <c r="R47" s="1416" t="s">
        <v>818</v>
      </c>
    </row>
    <row r="48" spans="1:18" s="1380" customFormat="1" ht="28.5" thickBot="1">
      <c r="A48" s="1106" t="s">
        <v>438</v>
      </c>
      <c r="B48" s="297" t="s">
        <v>692</v>
      </c>
      <c r="C48" s="1355">
        <f ca="1">C49+C53+C55</f>
        <v>0</v>
      </c>
      <c r="D48" s="1108"/>
      <c r="E48" s="1109"/>
      <c r="F48" s="958"/>
      <c r="G48" s="718"/>
      <c r="H48" s="719"/>
      <c r="I48" s="1417" t="s">
        <v>819</v>
      </c>
      <c r="J48" s="1418" t="s">
        <v>3436</v>
      </c>
      <c r="K48" s="1419" t="s">
        <v>820</v>
      </c>
      <c r="L48" s="1420">
        <f ca="1">INDIRECT("'数据-取费表'!f"&amp;$G$1)</f>
        <v>26.7</v>
      </c>
      <c r="O48" s="1414" t="s">
        <v>404</v>
      </c>
      <c r="P48" s="1415" t="s">
        <v>821</v>
      </c>
      <c r="Q48" s="1416">
        <f ca="1">J60</f>
        <v>110782</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'数据-取费表'!N19</f>
        <v>2018</v>
      </c>
      <c r="K49" s="1419" t="s">
        <v>824</v>
      </c>
      <c r="L49" s="1423"/>
      <c r="O49" s="1424" t="s">
        <v>405</v>
      </c>
      <c r="P49" s="1415" t="s">
        <v>825</v>
      </c>
      <c r="Q49" s="1416">
        <f ca="1">C29</f>
        <v>1744217</v>
      </c>
      <c r="R49" s="1416" t="s">
        <v>818</v>
      </c>
    </row>
    <row r="50" spans="1:18" s="1380" customFormat="1" ht="13.5" thickBot="1">
      <c r="A50" s="972"/>
      <c r="B50" s="975"/>
      <c r="C50" s="976"/>
      <c r="D50" s="949"/>
      <c r="E50" s="1052" t="s">
        <v>697</v>
      </c>
      <c r="F50" s="1053">
        <f ca="1">F7</f>
        <v>309.42</v>
      </c>
      <c r="H50" s="719"/>
      <c r="I50" s="1417" t="s">
        <v>826</v>
      </c>
      <c r="J50" s="1425">
        <f>SUMPRODUCT((I63:I65=J47)*(J62:L62=J48)*(J63:L65))</f>
        <v>60</v>
      </c>
      <c r="K50" s="1419" t="s">
        <v>827</v>
      </c>
      <c r="L50" s="1423"/>
      <c r="M50" s="1426"/>
      <c r="O50" s="1424" t="s">
        <v>406</v>
      </c>
      <c r="P50" s="1415" t="s">
        <v>828</v>
      </c>
      <c r="Q50" s="1427">
        <f ca="1">J58</f>
        <v>0.438</v>
      </c>
      <c r="R50" s="1416"/>
    </row>
    <row r="51" spans="1:18" s="1380" customFormat="1" ht="13.5" thickBot="1">
      <c r="A51" s="973"/>
      <c r="B51" s="975"/>
      <c r="C51" s="976"/>
      <c r="D51" s="949"/>
      <c r="E51" s="977" t="s">
        <v>698</v>
      </c>
      <c r="F51" s="300">
        <f ca="1">F8</f>
        <v>365</v>
      </c>
      <c r="I51" s="1428" t="s">
        <v>829</v>
      </c>
      <c r="J51" s="1429">
        <f>IF(J49="",J50,J49+J50-YEAR('数据-取费表'!B2))</f>
        <v>53</v>
      </c>
      <c r="K51" s="1430" t="s">
        <v>830</v>
      </c>
      <c r="L51" s="1431">
        <f ca="1">ROUND(-PV(INDIRECT("'数据-取费表'!h"&amp;$G$1),J51,(C39-C13*C76),0),0)</f>
        <v>-274789</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26.7</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4">
        <f ca="1">IF(M47="住宅",IF(D1="——",MAX(J51,L48),MAX(J51,L48-'数据-取费表'!B24)),IF(D1="——",MIN(J51,L48),MIN(J51,L48-'数据-取费表'!B24)))</f>
        <v>26.7</v>
      </c>
      <c r="K53" s="3685" t="s">
        <v>837</v>
      </c>
      <c r="L53" s="3686"/>
      <c r="O53" s="1414" t="s">
        <v>409</v>
      </c>
      <c r="P53" s="1415" t="s">
        <v>838</v>
      </c>
      <c r="Q53" s="1416">
        <f ca="1">Q47+Q48</f>
        <v>1600731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0.438</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1534911</v>
      </c>
      <c r="D56" s="1443"/>
      <c r="E56" s="1444"/>
      <c r="F56" s="1436"/>
      <c r="I56" s="1445" t="s">
        <v>842</v>
      </c>
      <c r="J56" s="1446" t="s">
        <v>3426</v>
      </c>
      <c r="K56" s="1417" t="s">
        <v>843</v>
      </c>
      <c r="L56" s="1420" t="str">
        <f ca="1">IF(L48&lt;J51,"——",L48-J51)</f>
        <v>——</v>
      </c>
      <c r="O56" s="1414" t="s">
        <v>403</v>
      </c>
      <c r="P56" s="1415" t="s">
        <v>817</v>
      </c>
      <c r="Q56" s="1416">
        <f ca="1">C40+J29</f>
        <v>1489949</v>
      </c>
      <c r="R56" s="1416" t="s">
        <v>818</v>
      </c>
    </row>
    <row r="57" spans="1:18" s="1380" customFormat="1" ht="24.75" thickBot="1">
      <c r="A57" s="1447"/>
      <c r="B57" s="946" t="s">
        <v>767</v>
      </c>
      <c r="C57" s="235">
        <f ca="1">C29</f>
        <v>1744217</v>
      </c>
      <c r="D57" s="1448"/>
      <c r="E57" s="1449"/>
      <c r="F57" s="1450"/>
      <c r="I57" s="1451" t="s">
        <v>844</v>
      </c>
      <c r="J57" s="1452">
        <f ca="1">IF(OR(M47="住宅",J51&lt;L48,J56="是"),"——",J51-L48)</f>
        <v>26.3</v>
      </c>
      <c r="K57" s="1417" t="s">
        <v>892</v>
      </c>
      <c r="L57" s="1420" t="str">
        <f ca="1">IF(L48&lt;J51,"——",IF(L55="比较法",L49,IF(L55="基准地价",L50,L51)))</f>
        <v>——</v>
      </c>
      <c r="O57" s="1414" t="s">
        <v>404</v>
      </c>
      <c r="P57" s="1415" t="s">
        <v>893</v>
      </c>
      <c r="Q57" s="1416">
        <f ca="1">L60</f>
        <v>0</v>
      </c>
      <c r="R57" s="1416" t="s">
        <v>894</v>
      </c>
    </row>
    <row r="58" spans="1:18" s="1380" customFormat="1" ht="24.75" thickBot="1">
      <c r="A58" s="312" t="s">
        <v>393</v>
      </c>
      <c r="B58" s="954" t="s">
        <v>714</v>
      </c>
      <c r="C58" s="313">
        <f ca="1">ROUND(C59+C64+C65+C66,0)</f>
        <v>6768</v>
      </c>
      <c r="D58" s="956" t="s">
        <v>715</v>
      </c>
      <c r="E58" s="957"/>
      <c r="F58" s="958"/>
      <c r="I58" s="1451" t="s">
        <v>848</v>
      </c>
      <c r="J58" s="1453">
        <f ca="1">IF(J55&lt;0.4,0.4,J55)</f>
        <v>0.438</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763967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f ca="1">IF(OR(M47="住宅",J51&lt;L48,J56="是"),"0",ROUND(J59/(1+J52)^J53,0))</f>
        <v>110782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3336</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0</v>
      </c>
      <c r="I62" s="1458" t="s">
        <v>858</v>
      </c>
      <c r="J62" s="1459" t="s">
        <v>859</v>
      </c>
      <c r="K62" s="1459" t="s">
        <v>860</v>
      </c>
      <c r="L62" s="1459" t="s">
        <v>861</v>
      </c>
      <c r="M62" s="1460" t="s">
        <v>862</v>
      </c>
      <c r="O62" s="1414" t="s">
        <v>409</v>
      </c>
      <c r="P62" s="1415" t="s">
        <v>863</v>
      </c>
      <c r="Q62" s="1416">
        <f ca="1">Q56+Q57</f>
        <v>1489949</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5233</v>
      </c>
      <c r="D64" s="960" t="s">
        <v>791</v>
      </c>
      <c r="E64" s="946" t="s">
        <v>783</v>
      </c>
      <c r="F64" s="325">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1535</v>
      </c>
      <c r="D65" s="960" t="s">
        <v>743</v>
      </c>
      <c r="E65" s="946" t="s">
        <v>744</v>
      </c>
      <c r="F65" s="327">
        <f t="shared" ca="1" si="0"/>
        <v>1E-3</v>
      </c>
      <c r="I65" s="1458" t="s">
        <v>867</v>
      </c>
      <c r="J65" s="1459">
        <v>40</v>
      </c>
      <c r="K65" s="1459">
        <v>30</v>
      </c>
      <c r="L65" s="1459">
        <v>50</v>
      </c>
      <c r="M65" s="1461">
        <v>0.02</v>
      </c>
      <c r="O65" s="1414" t="s">
        <v>403</v>
      </c>
      <c r="P65" s="1415" t="s">
        <v>868</v>
      </c>
      <c r="Q65" s="1416">
        <f ca="1">C40+J29</f>
        <v>1489949</v>
      </c>
      <c r="R65" s="1416" t="s">
        <v>818</v>
      </c>
    </row>
    <row r="66" spans="1:18" s="1380" customFormat="1" ht="16.5" thickBot="1">
      <c r="A66" s="978" t="s">
        <v>793</v>
      </c>
      <c r="B66" s="946" t="s">
        <v>728</v>
      </c>
      <c r="C66" s="21">
        <f ca="1">ROUND(C48*F66,0)</f>
        <v>0</v>
      </c>
      <c r="D66" s="960" t="s">
        <v>794</v>
      </c>
      <c r="E66" s="946" t="s">
        <v>712</v>
      </c>
      <c r="F66" s="309">
        <f t="shared" ca="1" si="0"/>
        <v>0.02</v>
      </c>
      <c r="O66" s="1414" t="s">
        <v>404</v>
      </c>
      <c r="P66" s="1415" t="s">
        <v>846</v>
      </c>
      <c r="Q66" s="1416">
        <f ca="1">L60</f>
        <v>0</v>
      </c>
      <c r="R66" s="1416" t="s">
        <v>869</v>
      </c>
    </row>
    <row r="67" spans="1:18" s="1380" customFormat="1" ht="16.5" thickBot="1">
      <c r="A67" s="953" t="s">
        <v>394</v>
      </c>
      <c r="B67" s="963" t="s">
        <v>752</v>
      </c>
      <c r="C67" s="313">
        <f ca="1">C48-C58</f>
        <v>-6768</v>
      </c>
      <c r="D67" s="959" t="s">
        <v>753</v>
      </c>
      <c r="E67" s="964"/>
      <c r="F67" s="965"/>
      <c r="O67" s="1424" t="s">
        <v>405</v>
      </c>
      <c r="P67" s="1415" t="s">
        <v>850</v>
      </c>
      <c r="Q67" s="1462">
        <f ca="1">L51</f>
        <v>-274789</v>
      </c>
      <c r="R67" s="1416" t="s">
        <v>870</v>
      </c>
    </row>
    <row r="68" spans="1:18" s="1380" customFormat="1" ht="16.5" thickBot="1">
      <c r="A68" s="943" t="s">
        <v>395</v>
      </c>
      <c r="B68" s="944" t="s">
        <v>774</v>
      </c>
      <c r="C68" s="298">
        <f ca="1">ROUND(C67*(1-((1+F70)/(1+F68))^F69)/(F68-F70),0)</f>
        <v>-93593</v>
      </c>
      <c r="D68" s="961" t="s">
        <v>758</v>
      </c>
      <c r="E68" s="946" t="s">
        <v>759</v>
      </c>
      <c r="F68" s="309">
        <f ca="1">F40</f>
        <v>5.5E-2</v>
      </c>
      <c r="O68" s="1424" t="s">
        <v>406</v>
      </c>
      <c r="P68" s="1463" t="s">
        <v>871</v>
      </c>
      <c r="Q68" s="1416">
        <f ca="1">ROUND(Q69-Q70*Q71,0)</f>
        <v>-14859</v>
      </c>
      <c r="R68" s="1416" t="s">
        <v>414</v>
      </c>
    </row>
    <row r="69" spans="1:18" s="1380" customFormat="1" ht="13.5" thickBot="1">
      <c r="A69" s="947"/>
      <c r="B69" s="948"/>
      <c r="C69" s="303"/>
      <c r="D69" s="966" t="s">
        <v>762</v>
      </c>
      <c r="E69" s="946" t="s">
        <v>763</v>
      </c>
      <c r="F69" s="330">
        <f ca="1">F41</f>
        <v>26.7</v>
      </c>
      <c r="O69" s="1424" t="s">
        <v>411</v>
      </c>
      <c r="P69" s="1463" t="s">
        <v>872</v>
      </c>
      <c r="Q69" s="1416">
        <f ca="1">C39</f>
        <v>92585</v>
      </c>
      <c r="R69" s="1416" t="s">
        <v>818</v>
      </c>
    </row>
    <row r="70" spans="1:18" s="1380" customFormat="1" ht="13.5" thickBot="1">
      <c r="A70" s="950"/>
      <c r="B70" s="951"/>
      <c r="C70" s="307"/>
      <c r="D70" s="962"/>
      <c r="E70" s="946" t="s">
        <v>766</v>
      </c>
      <c r="F70" s="1050"/>
      <c r="O70" s="1424" t="s">
        <v>412</v>
      </c>
      <c r="P70" s="1463" t="s">
        <v>873</v>
      </c>
      <c r="Q70" s="1416">
        <f ca="1">C13</f>
        <v>1534911</v>
      </c>
      <c r="R70" s="1416" t="s">
        <v>818</v>
      </c>
    </row>
    <row r="71" spans="1:18" s="1380" customFormat="1" ht="13.5" thickBot="1">
      <c r="A71" s="967" t="s">
        <v>396</v>
      </c>
      <c r="B71" s="968" t="s">
        <v>776</v>
      </c>
      <c r="C71" s="333">
        <f ca="1">ROUND(C68/F71,0)</f>
        <v>-302</v>
      </c>
      <c r="D71" s="969" t="s">
        <v>777</v>
      </c>
      <c r="E71" s="970" t="s">
        <v>778</v>
      </c>
      <c r="F71" s="336">
        <f ca="1">F43</f>
        <v>309.42</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107444</v>
      </c>
      <c r="D75" s="1380"/>
      <c r="E75" s="1380"/>
      <c r="F75" s="1380"/>
      <c r="K75" s="1398"/>
      <c r="L75" s="1380"/>
      <c r="O75" s="1414" t="s">
        <v>409</v>
      </c>
      <c r="P75" s="1415" t="s">
        <v>838</v>
      </c>
      <c r="Q75" s="1416">
        <f ca="1">Q65+Q66</f>
        <v>1489949</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-0.15999999999999992</v>
      </c>
    </row>
    <row r="80" spans="1:18">
      <c r="B80" s="337" t="s">
        <v>800</v>
      </c>
      <c r="C80" s="271">
        <f ca="1">ROUND(C75/C39,3)</f>
        <v>1.1599999999999999</v>
      </c>
    </row>
    <row r="81" spans="2:3">
      <c r="B81" s="267" t="s">
        <v>801</v>
      </c>
      <c r="C81" s="235"/>
    </row>
    <row r="82" spans="2:3">
      <c r="B82" s="270" t="s">
        <v>802</v>
      </c>
      <c r="C82" s="272">
        <f ca="1">1-C83</f>
        <v>-3.0000000000000027E-2</v>
      </c>
    </row>
    <row r="83" spans="2:3">
      <c r="B83" s="270" t="s">
        <v>803</v>
      </c>
      <c r="C83" s="271">
        <f ca="1">ROUND(C13/C40,3)</f>
        <v>1.03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1" t="s">
        <v>2315</v>
      </c>
      <c r="B2" s="2839" t="e">
        <f>IF(D2="——",C40,C40+E2)</f>
        <v>#DIV/0!</v>
      </c>
      <c r="C2" s="2840" t="s">
        <v>2316</v>
      </c>
      <c r="D2" s="3439" t="s">
        <v>3359</v>
      </c>
      <c r="E2" s="3440"/>
      <c r="F2" s="2842"/>
      <c r="G2" s="2843"/>
      <c r="H2" s="2844"/>
      <c r="I2" s="2845"/>
      <c r="J2" s="3729" t="s">
        <v>2317</v>
      </c>
      <c r="K2" s="3730"/>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31" t="s">
        <v>2327</v>
      </c>
      <c r="K3" s="3732"/>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31" t="s">
        <v>2329</v>
      </c>
      <c r="K4" s="3732"/>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33" t="s">
        <v>2333</v>
      </c>
      <c r="B6" s="3734"/>
      <c r="C6" s="3735"/>
      <c r="D6" s="2866"/>
      <c r="E6" s="2867"/>
      <c r="F6" s="2868"/>
      <c r="G6" s="2869"/>
      <c r="H6" s="2844"/>
      <c r="I6" s="2845"/>
      <c r="J6" s="3736">
        <v>1</v>
      </c>
      <c r="K6" s="3737"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36"/>
      <c r="K7" s="3738"/>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40" t="s">
        <v>2347</v>
      </c>
      <c r="C8" s="3741"/>
      <c r="D8" s="2885" t="s">
        <v>2348</v>
      </c>
      <c r="E8" s="2886" t="s">
        <v>2349</v>
      </c>
      <c r="F8" s="2887" t="s">
        <v>2350</v>
      </c>
      <c r="G8" s="2888"/>
      <c r="H8" s="2844"/>
      <c r="I8" s="2845"/>
      <c r="J8" s="3736"/>
      <c r="K8" s="3738"/>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40" t="s">
        <v>2353</v>
      </c>
      <c r="C9" s="3741"/>
      <c r="D9" s="2885">
        <f>ROUND(D6*E9,0)</f>
        <v>0</v>
      </c>
      <c r="E9" s="2889"/>
      <c r="F9" s="2890" t="s">
        <v>2354</v>
      </c>
      <c r="G9" s="2869"/>
      <c r="H9" s="2844"/>
      <c r="I9" s="2845"/>
      <c r="J9" s="3736"/>
      <c r="K9" s="3738"/>
      <c r="L9" s="2879" t="s">
        <v>2355</v>
      </c>
      <c r="M9" s="2880"/>
      <c r="N9" s="2856"/>
      <c r="O9" s="2881"/>
      <c r="P9" s="2881"/>
      <c r="Q9" s="2882">
        <v>365</v>
      </c>
      <c r="R9" s="2883">
        <f t="shared" si="0"/>
        <v>0</v>
      </c>
      <c r="S9" s="2837"/>
      <c r="T9" s="2837"/>
      <c r="U9" s="2837"/>
      <c r="V9" s="2845"/>
    </row>
    <row r="10" spans="1:22" s="2849" customFormat="1" ht="13.15" customHeight="1">
      <c r="A10" s="2884">
        <v>2</v>
      </c>
      <c r="B10" s="3740" t="s">
        <v>2356</v>
      </c>
      <c r="C10" s="3741"/>
      <c r="D10" s="2885">
        <f>ROUND(D6*E10,0)</f>
        <v>0</v>
      </c>
      <c r="E10" s="2889"/>
      <c r="F10" s="2890" t="s">
        <v>2357</v>
      </c>
      <c r="G10" s="2869"/>
      <c r="H10" s="2844"/>
      <c r="I10" s="2845"/>
      <c r="J10" s="3736"/>
      <c r="K10" s="3738"/>
      <c r="L10" s="2879" t="s">
        <v>2358</v>
      </c>
      <c r="M10" s="2880"/>
      <c r="N10" s="2856"/>
      <c r="O10" s="2881"/>
      <c r="P10" s="2881"/>
      <c r="Q10" s="2882">
        <v>365</v>
      </c>
      <c r="R10" s="2883">
        <f t="shared" si="0"/>
        <v>0</v>
      </c>
      <c r="S10" s="2837"/>
      <c r="T10" s="2837"/>
      <c r="U10" s="2837"/>
      <c r="V10" s="2845"/>
    </row>
    <row r="11" spans="1:22" s="2849" customFormat="1" ht="13.15" customHeight="1">
      <c r="A11" s="2884">
        <v>3</v>
      </c>
      <c r="B11" s="3740" t="s">
        <v>2359</v>
      </c>
      <c r="C11" s="3741"/>
      <c r="D11" s="2885">
        <f>D12+D14+D15+D16</f>
        <v>0</v>
      </c>
      <c r="E11" s="2891" t="e">
        <f>D11/D6</f>
        <v>#DIV/0!</v>
      </c>
      <c r="F11" s="2887"/>
      <c r="G11" s="2888"/>
      <c r="H11" s="2844"/>
      <c r="I11" s="2845"/>
      <c r="J11" s="3736"/>
      <c r="K11" s="3738"/>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42" t="s">
        <v>2362</v>
      </c>
      <c r="C12" s="3743"/>
      <c r="D12" s="2893">
        <f>ROUND(D13*1.2%*(1-30%),0)</f>
        <v>0</v>
      </c>
      <c r="E12" s="2894">
        <v>1.2E-2</v>
      </c>
      <c r="F12" s="2887" t="s">
        <v>2363</v>
      </c>
      <c r="G12" s="2888"/>
      <c r="H12" s="2844"/>
      <c r="I12" s="2845"/>
      <c r="J12" s="3736"/>
      <c r="K12" s="3738"/>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36"/>
      <c r="K13" s="3738"/>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42" t="s">
        <v>2368</v>
      </c>
      <c r="C14" s="3743"/>
      <c r="D14" s="2893">
        <f>ROUND(E14*B5/10000,0)</f>
        <v>0</v>
      </c>
      <c r="E14" s="2882"/>
      <c r="F14" s="2887" t="s">
        <v>2369</v>
      </c>
      <c r="G14" s="2888"/>
      <c r="H14" s="2844"/>
      <c r="I14" s="2845"/>
      <c r="J14" s="3736"/>
      <c r="K14" s="3739"/>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42" t="s">
        <v>2372</v>
      </c>
      <c r="C15" s="3743"/>
      <c r="D15" s="2893">
        <f>ROUND(D6*E15,0)</f>
        <v>0</v>
      </c>
      <c r="E15" s="2894">
        <v>5.5E-2</v>
      </c>
      <c r="F15" s="2887" t="s">
        <v>2373</v>
      </c>
      <c r="G15" s="2869"/>
      <c r="H15" s="2844"/>
      <c r="I15" s="2845"/>
      <c r="J15" s="3736">
        <v>2</v>
      </c>
      <c r="K15" s="3737"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42" t="s">
        <v>2381</v>
      </c>
      <c r="C16" s="3743"/>
      <c r="D16" s="2904">
        <f>D6*E16</f>
        <v>0</v>
      </c>
      <c r="E16" s="2905"/>
      <c r="F16" s="2890" t="s">
        <v>2382</v>
      </c>
      <c r="G16" s="2869"/>
      <c r="H16" s="2844"/>
      <c r="I16" s="2845"/>
      <c r="J16" s="3736"/>
      <c r="K16" s="3738"/>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44" t="s">
        <v>2384</v>
      </c>
      <c r="C17" s="3745"/>
      <c r="D17" s="2907">
        <f>ROUND(D6*E17,0)</f>
        <v>0</v>
      </c>
      <c r="E17" s="2908"/>
      <c r="F17" s="2909" t="s">
        <v>2385</v>
      </c>
      <c r="G17" s="2869"/>
      <c r="H17" s="2844"/>
      <c r="I17" s="2845"/>
      <c r="J17" s="3736"/>
      <c r="K17" s="3738"/>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36"/>
      <c r="K18" s="3738"/>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36"/>
      <c r="K19" s="3739"/>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6">
        <v>3</v>
      </c>
      <c r="K20" s="3737"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36"/>
      <c r="K21" s="3738"/>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36"/>
      <c r="K22" s="3738"/>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36"/>
      <c r="K23" s="3738"/>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36"/>
      <c r="K24" s="3739"/>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46">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4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29" t="s">
        <v>2317</v>
      </c>
      <c r="K32" s="3730"/>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31" t="s">
        <v>2327</v>
      </c>
      <c r="K33" s="3732"/>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31" t="s">
        <v>2329</v>
      </c>
      <c r="K34" s="373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36">
        <v>1</v>
      </c>
      <c r="K36" s="3737"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36"/>
      <c r="K37" s="3738"/>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6"/>
      <c r="K38" s="3738"/>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36"/>
      <c r="K39" s="3738"/>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36"/>
      <c r="K40" s="3739"/>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6">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4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160.07310000000001</v>
      </c>
      <c r="C2" s="1868" t="s">
        <v>1651</v>
      </c>
      <c r="D2" s="1869" t="s">
        <v>1652</v>
      </c>
      <c r="E2" s="2603">
        <f>SUM(E6:E13)</f>
        <v>309.42</v>
      </c>
      <c r="F2" s="2703"/>
      <c r="G2" s="1485"/>
      <c r="H2" s="1485"/>
      <c r="I2" s="1485"/>
      <c r="J2" s="1485"/>
      <c r="K2" s="1485"/>
      <c r="L2" s="1485"/>
      <c r="M2" s="1485"/>
      <c r="N2" s="1485"/>
      <c r="O2" s="1485"/>
      <c r="P2" s="1485"/>
      <c r="Q2" s="1485"/>
      <c r="R2" s="1485"/>
      <c r="S2" s="1485"/>
    </row>
    <row r="3" spans="1:22" ht="15.75">
      <c r="A3" s="1866" t="s">
        <v>686</v>
      </c>
      <c r="B3" s="2597">
        <f ca="1">ROUND(B2*10000/E2,0)</f>
        <v>5173</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48" t="s">
        <v>1654</v>
      </c>
      <c r="C5" s="3749"/>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160.07310000000001</v>
      </c>
      <c r="C6" s="1868" t="s">
        <v>1651</v>
      </c>
      <c r="D6" s="2705"/>
      <c r="E6" s="2602">
        <f>IF(OR(A6=0,F6="否"),0,'数据-取费表'!K6+'数据-取费表'!S6)</f>
        <v>309.42</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1665</v>
      </c>
      <c r="D3" s="350">
        <f>IF(D1="",'数据-汇总表'!E3,SUMIF('数据-汇总表'!$C19:$C33,D1,'数据-汇总表'!$E19:$E33))</f>
        <v>309.42</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1666</v>
      </c>
      <c r="B4" s="353"/>
      <c r="C4" s="3706" t="s">
        <v>1667</v>
      </c>
      <c r="D4" s="3707"/>
      <c r="E4" s="3708" t="s">
        <v>1668</v>
      </c>
      <c r="F4" s="3709"/>
      <c r="G4" s="3706" t="s">
        <v>1669</v>
      </c>
      <c r="H4" s="3707"/>
      <c r="I4" s="3706" t="s">
        <v>1670</v>
      </c>
      <c r="J4" s="3707"/>
      <c r="K4" s="1885" t="s">
        <v>1671</v>
      </c>
      <c r="L4" s="2711"/>
      <c r="M4" s="2712"/>
      <c r="N4" s="2712"/>
      <c r="O4" s="2712"/>
      <c r="P4" s="3710" t="s">
        <v>1672</v>
      </c>
      <c r="Q4" s="3711"/>
      <c r="R4" s="3695" t="s">
        <v>1668</v>
      </c>
      <c r="S4" s="3696"/>
      <c r="T4" s="3695" t="s">
        <v>1669</v>
      </c>
      <c r="U4" s="3696"/>
      <c r="V4" s="3718" t="s">
        <v>1670</v>
      </c>
      <c r="W4" s="3718"/>
      <c r="X4" s="1351"/>
      <c r="Y4" s="3695" t="s">
        <v>1672</v>
      </c>
      <c r="Z4" s="3696"/>
      <c r="AA4" s="3690" t="s">
        <v>1668</v>
      </c>
      <c r="AB4" s="3690" t="s">
        <v>1669</v>
      </c>
      <c r="AC4" s="3690" t="s">
        <v>1670</v>
      </c>
    </row>
    <row r="5" spans="1:29" ht="15">
      <c r="A5" s="355"/>
      <c r="B5" s="356"/>
      <c r="C5" s="3752" t="s">
        <v>1673</v>
      </c>
      <c r="D5" s="3753"/>
      <c r="E5" s="3750" t="s">
        <v>1674</v>
      </c>
      <c r="F5" s="3751"/>
      <c r="G5" s="3752" t="s">
        <v>1675</v>
      </c>
      <c r="H5" s="3753"/>
      <c r="I5" s="3752" t="s">
        <v>1676</v>
      </c>
      <c r="J5" s="3753"/>
      <c r="K5" s="1886"/>
      <c r="L5" s="2711"/>
      <c r="M5" s="2712"/>
      <c r="N5" s="2712"/>
      <c r="O5" s="2712"/>
      <c r="P5" s="3712"/>
      <c r="Q5" s="3713"/>
      <c r="R5" s="3697"/>
      <c r="S5" s="3698"/>
      <c r="T5" s="3697"/>
      <c r="U5" s="3698"/>
      <c r="V5" s="3718"/>
      <c r="W5" s="3718"/>
      <c r="X5" s="1351"/>
      <c r="Y5" s="3697"/>
      <c r="Z5" s="3698"/>
      <c r="AA5" s="3691"/>
      <c r="AB5" s="3691"/>
      <c r="AC5" s="3691"/>
    </row>
    <row r="6" spans="1:29" ht="15.75" thickBot="1">
      <c r="A6" s="357"/>
      <c r="B6" s="358"/>
      <c r="C6" s="3701" t="s">
        <v>1677</v>
      </c>
      <c r="D6" s="3702"/>
      <c r="E6" s="3703" t="s">
        <v>1677</v>
      </c>
      <c r="F6" s="3704"/>
      <c r="G6" s="3701" t="s">
        <v>1677</v>
      </c>
      <c r="H6" s="3702"/>
      <c r="I6" s="3701" t="s">
        <v>1677</v>
      </c>
      <c r="J6" s="3702"/>
      <c r="K6" s="1886" t="s">
        <v>1678</v>
      </c>
      <c r="L6" s="2711"/>
      <c r="M6" s="2712"/>
      <c r="N6" s="2712"/>
      <c r="O6" s="2712"/>
      <c r="P6" s="3714"/>
      <c r="Q6" s="3715"/>
      <c r="R6" s="3697"/>
      <c r="S6" s="3698"/>
      <c r="T6" s="3716"/>
      <c r="U6" s="3717"/>
      <c r="V6" s="3718"/>
      <c r="W6" s="3718"/>
      <c r="X6" s="1351"/>
      <c r="Y6" s="3716"/>
      <c r="Z6" s="3717"/>
      <c r="AA6" s="3692"/>
      <c r="AB6" s="3692"/>
      <c r="AC6" s="3692"/>
    </row>
    <row r="7" spans="1:29" s="108" customFormat="1" ht="15.75" thickBot="1">
      <c r="A7" s="359" t="s">
        <v>1679</v>
      </c>
      <c r="B7" s="360"/>
      <c r="C7" s="361">
        <f>'数据-取费表'!B2</f>
        <v>45888</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693" t="s">
        <v>1680</v>
      </c>
      <c r="Q7" s="3719"/>
      <c r="R7" s="697" t="s">
        <v>20</v>
      </c>
      <c r="S7" s="698">
        <f t="shared" ref="S7:S15" si="0">F7</f>
        <v>0</v>
      </c>
      <c r="T7" s="697" t="s">
        <v>20</v>
      </c>
      <c r="U7" s="698">
        <f t="shared" ref="U7:U15" si="1">H7</f>
        <v>0</v>
      </c>
      <c r="V7" s="697" t="s">
        <v>20</v>
      </c>
      <c r="W7" s="698">
        <f t="shared" ref="W7:W15" si="2">J7</f>
        <v>0</v>
      </c>
      <c r="X7" s="699"/>
      <c r="Y7" s="3693" t="s">
        <v>1680</v>
      </c>
      <c r="Z7" s="3694"/>
      <c r="AA7" s="700" t="e">
        <f>D7/F7</f>
        <v>#DIV/0!</v>
      </c>
      <c r="AB7" s="700" t="e">
        <f>D7/H7</f>
        <v>#DIV/0!</v>
      </c>
      <c r="AC7" s="700" t="e">
        <f>D7/J7</f>
        <v>#DIV/0!</v>
      </c>
    </row>
    <row r="8" spans="1:29" s="108" customFormat="1" ht="15.75" thickBot="1">
      <c r="A8" s="359" t="s">
        <v>1681</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693" t="s">
        <v>1683</v>
      </c>
      <c r="Q8" s="3694"/>
      <c r="R8" s="697" t="s">
        <v>20</v>
      </c>
      <c r="S8" s="698">
        <f t="shared" si="0"/>
        <v>100</v>
      </c>
      <c r="T8" s="697" t="s">
        <v>20</v>
      </c>
      <c r="U8" s="698">
        <f t="shared" si="1"/>
        <v>100</v>
      </c>
      <c r="V8" s="697" t="s">
        <v>20</v>
      </c>
      <c r="W8" s="698">
        <f t="shared" si="2"/>
        <v>100</v>
      </c>
      <c r="X8" s="699"/>
      <c r="Y8" s="3693" t="s">
        <v>1683</v>
      </c>
      <c r="Z8" s="3694"/>
      <c r="AA8" s="700">
        <f t="shared" ref="AA8:AA19" si="3">D8/F8</f>
        <v>1</v>
      </c>
      <c r="AB8" s="700">
        <f t="shared" ref="AB8:AB19" si="4">D8/H8</f>
        <v>1</v>
      </c>
      <c r="AC8" s="700">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754"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700">
        <f t="shared" si="5"/>
        <v>1</v>
      </c>
    </row>
    <row r="10" spans="1:29" s="375" customFormat="1" ht="27">
      <c r="A10" s="371"/>
      <c r="B10" s="372" t="s">
        <v>1688</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754"/>
      <c r="Q10" s="1339" t="str">
        <f t="shared" si="6"/>
        <v>土地使用年限（年）</v>
      </c>
      <c r="R10" s="697" t="s">
        <v>14</v>
      </c>
      <c r="S10" s="698">
        <f t="shared" si="0"/>
        <v>100</v>
      </c>
      <c r="T10" s="697" t="s">
        <v>14</v>
      </c>
      <c r="U10" s="698">
        <f t="shared" si="1"/>
        <v>100</v>
      </c>
      <c r="V10" s="697" t="s">
        <v>14</v>
      </c>
      <c r="W10" s="698">
        <f t="shared" si="2"/>
        <v>100</v>
      </c>
      <c r="X10" s="699"/>
      <c r="Y10" s="3658"/>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754"/>
      <c r="Q11" s="1339" t="str">
        <f t="shared" si="6"/>
        <v>容积率</v>
      </c>
      <c r="R11" s="697" t="s">
        <v>18</v>
      </c>
      <c r="S11" s="698" t="e">
        <f t="shared" si="0"/>
        <v>#N/A</v>
      </c>
      <c r="T11" s="697" t="s">
        <v>18</v>
      </c>
      <c r="U11" s="698" t="e">
        <f t="shared" si="1"/>
        <v>#N/A</v>
      </c>
      <c r="V11" s="697" t="s">
        <v>18</v>
      </c>
      <c r="W11" s="698" t="e">
        <f t="shared" si="2"/>
        <v>#N/A</v>
      </c>
      <c r="X11" s="699"/>
      <c r="Y11" s="3658"/>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754"/>
      <c r="Q12" s="1339">
        <f t="shared" si="6"/>
        <v>111</v>
      </c>
      <c r="R12" s="697" t="s">
        <v>18</v>
      </c>
      <c r="S12" s="698">
        <f t="shared" si="0"/>
        <v>100</v>
      </c>
      <c r="T12" s="697" t="s">
        <v>18</v>
      </c>
      <c r="U12" s="698">
        <f t="shared" si="1"/>
        <v>100</v>
      </c>
      <c r="V12" s="697" t="s">
        <v>18</v>
      </c>
      <c r="W12" s="698">
        <f t="shared" si="2"/>
        <v>100</v>
      </c>
      <c r="X12" s="699"/>
      <c r="Y12" s="3658"/>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754"/>
      <c r="Q13" s="1339">
        <f t="shared" si="6"/>
        <v>111</v>
      </c>
      <c r="R13" s="697" t="s">
        <v>18</v>
      </c>
      <c r="S13" s="698">
        <f t="shared" si="0"/>
        <v>100</v>
      </c>
      <c r="T13" s="697" t="s">
        <v>18</v>
      </c>
      <c r="U13" s="698">
        <f t="shared" si="1"/>
        <v>100</v>
      </c>
      <c r="V13" s="697" t="s">
        <v>18</v>
      </c>
      <c r="W13" s="698">
        <f t="shared" si="2"/>
        <v>100</v>
      </c>
      <c r="X13" s="699"/>
      <c r="Y13" s="3658"/>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754"/>
      <c r="Q14" s="1339">
        <f t="shared" si="6"/>
        <v>111</v>
      </c>
      <c r="R14" s="697" t="s">
        <v>18</v>
      </c>
      <c r="S14" s="698">
        <f t="shared" si="0"/>
        <v>100</v>
      </c>
      <c r="T14" s="697" t="s">
        <v>18</v>
      </c>
      <c r="U14" s="698">
        <f t="shared" si="1"/>
        <v>100</v>
      </c>
      <c r="V14" s="697" t="s">
        <v>18</v>
      </c>
      <c r="W14" s="698">
        <f t="shared" si="2"/>
        <v>100</v>
      </c>
      <c r="X14" s="699"/>
      <c r="Y14" s="3658"/>
      <c r="Z14" s="52">
        <f t="shared" si="7"/>
        <v>111</v>
      </c>
      <c r="AA14" s="700">
        <f t="shared" si="3"/>
        <v>1</v>
      </c>
      <c r="AB14" s="700">
        <f t="shared" si="4"/>
        <v>1</v>
      </c>
      <c r="AC14" s="700">
        <f t="shared" si="5"/>
        <v>1</v>
      </c>
    </row>
    <row r="15" spans="1:29" ht="85.5">
      <c r="A15" s="388" t="s">
        <v>1690</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58" t="s">
        <v>1691</v>
      </c>
      <c r="Q15" s="1348" t="str">
        <f t="shared" si="6"/>
        <v>居住社区成熟度</v>
      </c>
      <c r="R15" s="701" t="s">
        <v>18</v>
      </c>
      <c r="S15" s="702">
        <f t="shared" si="0"/>
        <v>100</v>
      </c>
      <c r="T15" s="701" t="s">
        <v>18</v>
      </c>
      <c r="U15" s="702">
        <f t="shared" si="1"/>
        <v>100</v>
      </c>
      <c r="V15" s="701" t="s">
        <v>18</v>
      </c>
      <c r="W15" s="702">
        <f t="shared" si="2"/>
        <v>100</v>
      </c>
      <c r="X15" s="1351"/>
      <c r="Y15" s="3720" t="s">
        <v>1691</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59"/>
      <c r="Q16" s="1348"/>
      <c r="R16" s="701"/>
      <c r="S16" s="702"/>
      <c r="T16" s="701"/>
      <c r="U16" s="702"/>
      <c r="V16" s="701"/>
      <c r="W16" s="702"/>
      <c r="X16" s="1351"/>
      <c r="Y16" s="3721"/>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59"/>
      <c r="Q17" s="1348" t="str">
        <f>B17</f>
        <v>交通便捷度</v>
      </c>
      <c r="R17" s="701" t="s">
        <v>18</v>
      </c>
      <c r="S17" s="702">
        <f>F17</f>
        <v>100</v>
      </c>
      <c r="T17" s="701" t="s">
        <v>18</v>
      </c>
      <c r="U17" s="702">
        <f>H17</f>
        <v>100</v>
      </c>
      <c r="V17" s="701" t="s">
        <v>18</v>
      </c>
      <c r="W17" s="702">
        <f>J17</f>
        <v>100</v>
      </c>
      <c r="X17" s="1351"/>
      <c r="Y17" s="3721"/>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59"/>
      <c r="Q18" s="1348"/>
      <c r="R18" s="701"/>
      <c r="S18" s="702"/>
      <c r="T18" s="701"/>
      <c r="U18" s="702"/>
      <c r="V18" s="701"/>
      <c r="W18" s="702"/>
      <c r="X18" s="1351"/>
      <c r="Y18" s="3721"/>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59"/>
      <c r="Q19" s="1348" t="str">
        <f>B19</f>
        <v>公共配套设施</v>
      </c>
      <c r="R19" s="701" t="s">
        <v>18</v>
      </c>
      <c r="S19" s="702">
        <f>F19</f>
        <v>100</v>
      </c>
      <c r="T19" s="701" t="s">
        <v>18</v>
      </c>
      <c r="U19" s="702">
        <f>H19</f>
        <v>100</v>
      </c>
      <c r="V19" s="701" t="s">
        <v>18</v>
      </c>
      <c r="W19" s="702">
        <f>J19</f>
        <v>100</v>
      </c>
      <c r="X19" s="1351"/>
      <c r="Y19" s="3721"/>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59"/>
      <c r="Q20" s="1348"/>
      <c r="R20" s="701"/>
      <c r="S20" s="702"/>
      <c r="T20" s="701"/>
      <c r="U20" s="702"/>
      <c r="V20" s="701"/>
      <c r="W20" s="702"/>
      <c r="X20" s="1351"/>
      <c r="Y20" s="3721"/>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59"/>
      <c r="Q21" s="1348" t="str">
        <f>B21</f>
        <v>基础设施水平</v>
      </c>
      <c r="R21" s="701" t="s">
        <v>14</v>
      </c>
      <c r="S21" s="702">
        <f>F21</f>
        <v>100</v>
      </c>
      <c r="T21" s="701" t="s">
        <v>14</v>
      </c>
      <c r="U21" s="702">
        <f>H21</f>
        <v>100</v>
      </c>
      <c r="V21" s="701" t="s">
        <v>14</v>
      </c>
      <c r="W21" s="702">
        <f>J21</f>
        <v>100</v>
      </c>
      <c r="X21" s="1351"/>
      <c r="Y21" s="3721"/>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59"/>
      <c r="Q22" s="1348"/>
      <c r="R22" s="701"/>
      <c r="S22" s="702"/>
      <c r="T22" s="701"/>
      <c r="U22" s="702"/>
      <c r="V22" s="701"/>
      <c r="W22" s="702"/>
      <c r="X22" s="1351"/>
      <c r="Y22" s="3721"/>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59"/>
      <c r="Q23" s="1348" t="str">
        <f>B23</f>
        <v>自然及人文环境</v>
      </c>
      <c r="R23" s="701" t="s">
        <v>18</v>
      </c>
      <c r="S23" s="702">
        <f>F23</f>
        <v>100</v>
      </c>
      <c r="T23" s="701" t="s">
        <v>18</v>
      </c>
      <c r="U23" s="702">
        <f>H23</f>
        <v>100</v>
      </c>
      <c r="V23" s="701" t="s">
        <v>18</v>
      </c>
      <c r="W23" s="702">
        <f>J23</f>
        <v>100</v>
      </c>
      <c r="X23" s="1351"/>
      <c r="Y23" s="3721"/>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59"/>
      <c r="Q24" s="1348"/>
      <c r="R24" s="701"/>
      <c r="S24" s="702"/>
      <c r="T24" s="701"/>
      <c r="U24" s="702"/>
      <c r="V24" s="701"/>
      <c r="W24" s="702"/>
      <c r="X24" s="1351"/>
      <c r="Y24" s="3721"/>
      <c r="Z24" s="1352"/>
      <c r="AA24" s="1349">
        <v>1</v>
      </c>
      <c r="AB24" s="1349">
        <v>1</v>
      </c>
      <c r="AC24" s="1349">
        <v>1</v>
      </c>
    </row>
    <row r="25" spans="1:29" ht="15">
      <c r="A25" s="376"/>
      <c r="B25" s="372" t="s">
        <v>1692</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59"/>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1"/>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59"/>
      <c r="Q26" s="1348" t="str">
        <f t="shared" si="11"/>
        <v>朝向</v>
      </c>
      <c r="R26" s="701" t="s">
        <v>18</v>
      </c>
      <c r="S26" s="702">
        <f t="shared" si="12"/>
        <v>100</v>
      </c>
      <c r="T26" s="701" t="s">
        <v>18</v>
      </c>
      <c r="U26" s="702">
        <f t="shared" si="13"/>
        <v>100</v>
      </c>
      <c r="V26" s="701" t="s">
        <v>18</v>
      </c>
      <c r="W26" s="702">
        <f t="shared" si="14"/>
        <v>100</v>
      </c>
      <c r="X26" s="1351"/>
      <c r="Y26" s="3721"/>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59"/>
      <c r="Q27" s="1339">
        <f t="shared" si="11"/>
        <v>111</v>
      </c>
      <c r="R27" s="697" t="s">
        <v>18</v>
      </c>
      <c r="S27" s="698">
        <f t="shared" si="12"/>
        <v>100</v>
      </c>
      <c r="T27" s="697" t="s">
        <v>18</v>
      </c>
      <c r="U27" s="698">
        <f t="shared" si="13"/>
        <v>100</v>
      </c>
      <c r="V27" s="697" t="s">
        <v>18</v>
      </c>
      <c r="W27" s="698">
        <f t="shared" si="14"/>
        <v>100</v>
      </c>
      <c r="X27" s="699"/>
      <c r="Y27" s="3721"/>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59"/>
      <c r="Q28" s="1348">
        <f t="shared" si="11"/>
        <v>111</v>
      </c>
      <c r="R28" s="701" t="s">
        <v>18</v>
      </c>
      <c r="S28" s="702">
        <f t="shared" si="12"/>
        <v>100</v>
      </c>
      <c r="T28" s="701" t="s">
        <v>18</v>
      </c>
      <c r="U28" s="702">
        <f t="shared" si="13"/>
        <v>100</v>
      </c>
      <c r="V28" s="701" t="s">
        <v>18</v>
      </c>
      <c r="W28" s="702">
        <f t="shared" si="14"/>
        <v>100</v>
      </c>
      <c r="X28" s="1351"/>
      <c r="Y28" s="3721"/>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59"/>
      <c r="Q29" s="1348">
        <f t="shared" si="11"/>
        <v>111</v>
      </c>
      <c r="R29" s="701" t="s">
        <v>18</v>
      </c>
      <c r="S29" s="702">
        <f t="shared" si="12"/>
        <v>100</v>
      </c>
      <c r="T29" s="701" t="s">
        <v>18</v>
      </c>
      <c r="U29" s="702">
        <f t="shared" si="13"/>
        <v>100</v>
      </c>
      <c r="V29" s="701" t="s">
        <v>18</v>
      </c>
      <c r="W29" s="702">
        <f t="shared" si="14"/>
        <v>100</v>
      </c>
      <c r="X29" s="1351"/>
      <c r="Y29" s="3721"/>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59"/>
      <c r="Q30" s="1348">
        <f t="shared" si="11"/>
        <v>111</v>
      </c>
      <c r="R30" s="701" t="s">
        <v>18</v>
      </c>
      <c r="S30" s="702">
        <f t="shared" si="12"/>
        <v>100</v>
      </c>
      <c r="T30" s="701" t="s">
        <v>18</v>
      </c>
      <c r="U30" s="702">
        <f t="shared" si="13"/>
        <v>100</v>
      </c>
      <c r="V30" s="701" t="s">
        <v>18</v>
      </c>
      <c r="W30" s="702">
        <f t="shared" si="14"/>
        <v>100</v>
      </c>
      <c r="X30" s="1351"/>
      <c r="Y30" s="3721"/>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59"/>
      <c r="Q31" s="1348">
        <f t="shared" si="11"/>
        <v>111</v>
      </c>
      <c r="R31" s="701" t="s">
        <v>18</v>
      </c>
      <c r="S31" s="702">
        <f t="shared" si="12"/>
        <v>100</v>
      </c>
      <c r="T31" s="701" t="s">
        <v>18</v>
      </c>
      <c r="U31" s="702">
        <f t="shared" si="13"/>
        <v>100</v>
      </c>
      <c r="V31" s="701" t="s">
        <v>18</v>
      </c>
      <c r="W31" s="702">
        <f t="shared" si="14"/>
        <v>100</v>
      </c>
      <c r="X31" s="1351"/>
      <c r="Y31" s="3721"/>
      <c r="Z31" s="1352">
        <f t="shared" si="18"/>
        <v>111</v>
      </c>
      <c r="AA31" s="1349">
        <f t="shared" si="15"/>
        <v>1</v>
      </c>
      <c r="AB31" s="1349">
        <f t="shared" si="16"/>
        <v>1</v>
      </c>
      <c r="AC31" s="1349">
        <f t="shared" si="17"/>
        <v>1</v>
      </c>
    </row>
    <row r="32" spans="1:29" ht="15">
      <c r="A32" s="388" t="s">
        <v>1694</v>
      </c>
      <c r="B32" s="63" t="s">
        <v>1695</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55" t="s">
        <v>1696</v>
      </c>
      <c r="Q32" s="1348" t="str">
        <f t="shared" si="11"/>
        <v>建筑类型</v>
      </c>
      <c r="R32" s="701" t="s">
        <v>18</v>
      </c>
      <c r="S32" s="702">
        <f t="shared" si="12"/>
        <v>100</v>
      </c>
      <c r="T32" s="701" t="s">
        <v>18</v>
      </c>
      <c r="U32" s="702">
        <f t="shared" si="13"/>
        <v>100</v>
      </c>
      <c r="V32" s="701" t="s">
        <v>18</v>
      </c>
      <c r="W32" s="702">
        <f t="shared" si="14"/>
        <v>100</v>
      </c>
      <c r="X32" s="1351"/>
      <c r="Y32" s="3723" t="s">
        <v>1696</v>
      </c>
      <c r="Z32" s="1352" t="str">
        <f t="shared" si="18"/>
        <v>建筑类型</v>
      </c>
      <c r="AA32" s="1349">
        <f t="shared" si="15"/>
        <v>1</v>
      </c>
      <c r="AB32" s="1349">
        <f t="shared" si="16"/>
        <v>1</v>
      </c>
      <c r="AC32" s="1349">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56"/>
      <c r="Q33" s="703" t="str">
        <f t="shared" si="11"/>
        <v>项目建筑规模</v>
      </c>
      <c r="R33" s="704" t="s">
        <v>18</v>
      </c>
      <c r="S33" s="705" t="e">
        <f t="shared" si="12"/>
        <v>#N/A</v>
      </c>
      <c r="T33" s="704" t="s">
        <v>18</v>
      </c>
      <c r="U33" s="705" t="e">
        <f t="shared" si="13"/>
        <v>#N/A</v>
      </c>
      <c r="V33" s="704" t="s">
        <v>18</v>
      </c>
      <c r="W33" s="705" t="e">
        <f t="shared" si="14"/>
        <v>#N/A</v>
      </c>
      <c r="X33" s="706"/>
      <c r="Y33" s="3723"/>
      <c r="Z33" s="707" t="str">
        <f t="shared" si="18"/>
        <v>项目建筑规模</v>
      </c>
      <c r="AA33" s="1349" t="e">
        <f t="shared" si="15"/>
        <v>#N/A</v>
      </c>
      <c r="AB33" s="1349" t="e">
        <f t="shared" si="16"/>
        <v>#N/A</v>
      </c>
      <c r="AC33" s="1349" t="e">
        <f t="shared" si="17"/>
        <v>#N/A</v>
      </c>
    </row>
    <row r="34" spans="1:29" ht="15">
      <c r="A34" s="420"/>
      <c r="B34" s="372" t="s">
        <v>1698</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56"/>
      <c r="Q34" s="1348" t="str">
        <f t="shared" si="11"/>
        <v>建筑结构</v>
      </c>
      <c r="R34" s="701" t="s">
        <v>18</v>
      </c>
      <c r="S34" s="702">
        <f t="shared" si="12"/>
        <v>100</v>
      </c>
      <c r="T34" s="701" t="s">
        <v>18</v>
      </c>
      <c r="U34" s="702">
        <f t="shared" si="13"/>
        <v>100</v>
      </c>
      <c r="V34" s="701" t="s">
        <v>18</v>
      </c>
      <c r="W34" s="702">
        <f t="shared" si="14"/>
        <v>100</v>
      </c>
      <c r="X34" s="1351"/>
      <c r="Y34" s="3723"/>
      <c r="Z34" s="1352" t="str">
        <f t="shared" si="18"/>
        <v>建筑结构</v>
      </c>
      <c r="AA34" s="1349">
        <f t="shared" si="15"/>
        <v>1</v>
      </c>
      <c r="AB34" s="1349">
        <f t="shared" si="16"/>
        <v>1</v>
      </c>
      <c r="AC34" s="1349">
        <f t="shared" si="17"/>
        <v>1</v>
      </c>
    </row>
    <row r="35" spans="1:29" ht="15">
      <c r="A35" s="420"/>
      <c r="B35" s="372" t="s">
        <v>1699</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56"/>
      <c r="Q35" s="1348" t="str">
        <f t="shared" si="11"/>
        <v>建筑品质</v>
      </c>
      <c r="R35" s="701" t="s">
        <v>18</v>
      </c>
      <c r="S35" s="702">
        <f t="shared" si="12"/>
        <v>100</v>
      </c>
      <c r="T35" s="701" t="s">
        <v>18</v>
      </c>
      <c r="U35" s="702">
        <f t="shared" si="13"/>
        <v>100</v>
      </c>
      <c r="V35" s="701" t="s">
        <v>18</v>
      </c>
      <c r="W35" s="702">
        <f t="shared" si="14"/>
        <v>100</v>
      </c>
      <c r="X35" s="1351"/>
      <c r="Y35" s="3723"/>
      <c r="Z35" s="1352" t="str">
        <f t="shared" si="18"/>
        <v>建筑品质</v>
      </c>
      <c r="AA35" s="1349">
        <f t="shared" si="15"/>
        <v>1</v>
      </c>
      <c r="AB35" s="1349">
        <f t="shared" si="16"/>
        <v>1</v>
      </c>
      <c r="AC35" s="1349">
        <f t="shared" si="17"/>
        <v>1</v>
      </c>
    </row>
    <row r="36" spans="1:29" ht="15">
      <c r="A36" s="420"/>
      <c r="B36" s="372" t="s">
        <v>1700</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56"/>
      <c r="Q36" s="1348" t="str">
        <f t="shared" si="11"/>
        <v>公共部分装修</v>
      </c>
      <c r="R36" s="701" t="s">
        <v>18</v>
      </c>
      <c r="S36" s="702">
        <f t="shared" si="12"/>
        <v>100</v>
      </c>
      <c r="T36" s="701" t="s">
        <v>18</v>
      </c>
      <c r="U36" s="702">
        <f t="shared" si="13"/>
        <v>100</v>
      </c>
      <c r="V36" s="701" t="s">
        <v>18</v>
      </c>
      <c r="W36" s="702">
        <f t="shared" si="14"/>
        <v>100</v>
      </c>
      <c r="X36" s="1351"/>
      <c r="Y36" s="3723"/>
      <c r="Z36" s="1352" t="str">
        <f t="shared" si="18"/>
        <v>公共部分装修</v>
      </c>
      <c r="AA36" s="1349">
        <f t="shared" si="15"/>
        <v>1</v>
      </c>
      <c r="AB36" s="1349">
        <f t="shared" si="16"/>
        <v>1</v>
      </c>
      <c r="AC36" s="1349">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56"/>
      <c r="Q37" s="1339" t="str">
        <f t="shared" si="11"/>
        <v>成新度</v>
      </c>
      <c r="R37" s="697" t="s">
        <v>18</v>
      </c>
      <c r="S37" s="698" t="e">
        <f t="shared" si="12"/>
        <v>#N/A</v>
      </c>
      <c r="T37" s="697" t="s">
        <v>18</v>
      </c>
      <c r="U37" s="698" t="e">
        <f t="shared" si="13"/>
        <v>#N/A</v>
      </c>
      <c r="V37" s="697" t="s">
        <v>18</v>
      </c>
      <c r="W37" s="698" t="e">
        <f t="shared" si="14"/>
        <v>#N/A</v>
      </c>
      <c r="X37" s="699"/>
      <c r="Y37" s="3723"/>
      <c r="Z37" s="52" t="str">
        <f t="shared" si="18"/>
        <v>成新度</v>
      </c>
      <c r="AA37" s="700" t="e">
        <f t="shared" si="15"/>
        <v>#N/A</v>
      </c>
      <c r="AB37" s="700" t="e">
        <f t="shared" si="16"/>
        <v>#N/A</v>
      </c>
      <c r="AC37" s="700" t="e">
        <f t="shared" si="17"/>
        <v>#N/A</v>
      </c>
    </row>
    <row r="38" spans="1:29" ht="15">
      <c r="A38" s="420"/>
      <c r="B38" s="372" t="s">
        <v>1702</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56" t="s">
        <v>1696</v>
      </c>
      <c r="Q38" s="1348" t="str">
        <f t="shared" si="11"/>
        <v>物业管理</v>
      </c>
      <c r="R38" s="701" t="s">
        <v>18</v>
      </c>
      <c r="S38" s="702">
        <f t="shared" si="12"/>
        <v>100</v>
      </c>
      <c r="T38" s="701" t="s">
        <v>18</v>
      </c>
      <c r="U38" s="702">
        <f t="shared" si="13"/>
        <v>100</v>
      </c>
      <c r="V38" s="701" t="s">
        <v>18</v>
      </c>
      <c r="W38" s="702">
        <f t="shared" si="14"/>
        <v>100</v>
      </c>
      <c r="X38" s="1351"/>
      <c r="Y38" s="3723" t="s">
        <v>1696</v>
      </c>
      <c r="Z38" s="1352" t="str">
        <f t="shared" si="18"/>
        <v>物业管理</v>
      </c>
      <c r="AA38" s="1349">
        <f t="shared" si="15"/>
        <v>1</v>
      </c>
      <c r="AB38" s="1349">
        <f t="shared" si="16"/>
        <v>1</v>
      </c>
      <c r="AC38" s="1349">
        <f t="shared" si="17"/>
        <v>1</v>
      </c>
    </row>
    <row r="39" spans="1:29" ht="15">
      <c r="A39" s="420"/>
      <c r="B39" s="372" t="s">
        <v>1703</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56"/>
      <c r="Q39" s="1348" t="str">
        <f t="shared" si="11"/>
        <v>市政基础设施</v>
      </c>
      <c r="R39" s="701" t="s">
        <v>18</v>
      </c>
      <c r="S39" s="702">
        <f t="shared" si="12"/>
        <v>100</v>
      </c>
      <c r="T39" s="701" t="s">
        <v>18</v>
      </c>
      <c r="U39" s="702">
        <f t="shared" si="13"/>
        <v>100</v>
      </c>
      <c r="V39" s="701" t="s">
        <v>18</v>
      </c>
      <c r="W39" s="702">
        <f t="shared" si="14"/>
        <v>100</v>
      </c>
      <c r="X39" s="1351"/>
      <c r="Y39" s="3723"/>
      <c r="Z39" s="1352" t="str">
        <f t="shared" si="18"/>
        <v>市政基础设施</v>
      </c>
      <c r="AA39" s="1349">
        <f t="shared" si="15"/>
        <v>1</v>
      </c>
      <c r="AB39" s="1349">
        <f t="shared" si="16"/>
        <v>1</v>
      </c>
      <c r="AC39" s="1349">
        <f t="shared" si="17"/>
        <v>1</v>
      </c>
    </row>
    <row r="40" spans="1:29" ht="15">
      <c r="A40" s="420"/>
      <c r="B40" s="372" t="s">
        <v>1704</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56"/>
      <c r="Q40" s="1348" t="str">
        <f t="shared" si="11"/>
        <v>房型</v>
      </c>
      <c r="R40" s="701" t="s">
        <v>18</v>
      </c>
      <c r="S40" s="702">
        <f t="shared" si="12"/>
        <v>100</v>
      </c>
      <c r="T40" s="701" t="s">
        <v>18</v>
      </c>
      <c r="U40" s="702">
        <f t="shared" si="13"/>
        <v>100</v>
      </c>
      <c r="V40" s="701" t="s">
        <v>18</v>
      </c>
      <c r="W40" s="702">
        <f t="shared" si="14"/>
        <v>100</v>
      </c>
      <c r="X40" s="1351"/>
      <c r="Y40" s="3723"/>
      <c r="Z40" s="1352" t="str">
        <f t="shared" si="18"/>
        <v>房型</v>
      </c>
      <c r="AA40" s="1349">
        <f t="shared" si="15"/>
        <v>1</v>
      </c>
      <c r="AB40" s="1349">
        <f t="shared" si="16"/>
        <v>1</v>
      </c>
      <c r="AC40" s="1349">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56"/>
      <c r="Q41" s="703" t="str">
        <f t="shared" si="11"/>
        <v>单套/主力户型建筑面积</v>
      </c>
      <c r="R41" s="704" t="s">
        <v>18</v>
      </c>
      <c r="S41" s="705">
        <f t="shared" si="12"/>
        <v>100</v>
      </c>
      <c r="T41" s="704" t="s">
        <v>18</v>
      </c>
      <c r="U41" s="705">
        <f t="shared" si="13"/>
        <v>100</v>
      </c>
      <c r="V41" s="704" t="s">
        <v>18</v>
      </c>
      <c r="W41" s="705">
        <f t="shared" si="14"/>
        <v>100</v>
      </c>
      <c r="X41" s="706"/>
      <c r="Y41" s="3723"/>
      <c r="Z41" s="707" t="str">
        <f t="shared" si="18"/>
        <v>单套/主力户型建筑面积</v>
      </c>
      <c r="AA41" s="1349">
        <f t="shared" si="15"/>
        <v>1</v>
      </c>
      <c r="AB41" s="1349">
        <f t="shared" si="16"/>
        <v>1</v>
      </c>
      <c r="AC41" s="1349">
        <f t="shared" si="17"/>
        <v>1</v>
      </c>
    </row>
    <row r="42" spans="1:29" ht="15">
      <c r="A42" s="420"/>
      <c r="B42" s="372" t="s">
        <v>1706</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56"/>
      <c r="Q42" s="1348" t="str">
        <f t="shared" si="11"/>
        <v>内部装修</v>
      </c>
      <c r="R42" s="701" t="s">
        <v>18</v>
      </c>
      <c r="S42" s="702">
        <f t="shared" si="12"/>
        <v>100</v>
      </c>
      <c r="T42" s="701" t="s">
        <v>18</v>
      </c>
      <c r="U42" s="702">
        <f t="shared" si="13"/>
        <v>100</v>
      </c>
      <c r="V42" s="701" t="s">
        <v>18</v>
      </c>
      <c r="W42" s="702">
        <f t="shared" si="14"/>
        <v>100</v>
      </c>
      <c r="X42" s="1351"/>
      <c r="Y42" s="3723"/>
      <c r="Z42" s="1352" t="str">
        <f t="shared" si="18"/>
        <v>内部装修</v>
      </c>
      <c r="AA42" s="1349">
        <f t="shared" si="15"/>
        <v>1</v>
      </c>
      <c r="AB42" s="1349">
        <f t="shared" si="16"/>
        <v>1</v>
      </c>
      <c r="AC42" s="1349">
        <f t="shared" si="17"/>
        <v>1</v>
      </c>
    </row>
    <row r="43" spans="1:29" ht="15">
      <c r="A43" s="420"/>
      <c r="B43" s="372" t="s">
        <v>1707</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56"/>
      <c r="Q43" s="1348" t="str">
        <f t="shared" si="11"/>
        <v>内部装修维护情况</v>
      </c>
      <c r="R43" s="701" t="s">
        <v>18</v>
      </c>
      <c r="S43" s="702">
        <f t="shared" si="12"/>
        <v>100</v>
      </c>
      <c r="T43" s="701" t="s">
        <v>18</v>
      </c>
      <c r="U43" s="702">
        <f t="shared" si="13"/>
        <v>100</v>
      </c>
      <c r="V43" s="701" t="s">
        <v>18</v>
      </c>
      <c r="W43" s="702">
        <f t="shared" si="14"/>
        <v>100</v>
      </c>
      <c r="X43" s="1351"/>
      <c r="Y43" s="3723"/>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56"/>
      <c r="Q44" s="1339">
        <f t="shared" si="11"/>
        <v>111</v>
      </c>
      <c r="R44" s="697" t="s">
        <v>18</v>
      </c>
      <c r="S44" s="698">
        <f t="shared" si="12"/>
        <v>100</v>
      </c>
      <c r="T44" s="697" t="s">
        <v>18</v>
      </c>
      <c r="U44" s="698">
        <f t="shared" si="13"/>
        <v>100</v>
      </c>
      <c r="V44" s="697" t="s">
        <v>18</v>
      </c>
      <c r="W44" s="698">
        <f t="shared" si="14"/>
        <v>100</v>
      </c>
      <c r="X44" s="699"/>
      <c r="Y44" s="3723"/>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56"/>
      <c r="Q45" s="1348">
        <f t="shared" si="11"/>
        <v>111</v>
      </c>
      <c r="R45" s="701" t="s">
        <v>18</v>
      </c>
      <c r="S45" s="702">
        <f t="shared" si="12"/>
        <v>100</v>
      </c>
      <c r="T45" s="701" t="s">
        <v>18</v>
      </c>
      <c r="U45" s="702">
        <f t="shared" si="13"/>
        <v>100</v>
      </c>
      <c r="V45" s="701" t="s">
        <v>18</v>
      </c>
      <c r="W45" s="702">
        <f t="shared" si="14"/>
        <v>100</v>
      </c>
      <c r="X45" s="1351"/>
      <c r="Y45" s="3723"/>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57"/>
      <c r="Q46" s="1348">
        <f t="shared" si="11"/>
        <v>111</v>
      </c>
      <c r="R46" s="701" t="s">
        <v>17</v>
      </c>
      <c r="S46" s="702">
        <f t="shared" si="12"/>
        <v>100</v>
      </c>
      <c r="T46" s="701" t="s">
        <v>17</v>
      </c>
      <c r="U46" s="702">
        <f t="shared" si="13"/>
        <v>100</v>
      </c>
      <c r="V46" s="701" t="s">
        <v>17</v>
      </c>
      <c r="W46" s="702">
        <f t="shared" si="14"/>
        <v>100</v>
      </c>
      <c r="X46" s="1351"/>
      <c r="Y46" s="3724"/>
      <c r="Z46" s="1352">
        <f t="shared" si="18"/>
        <v>111</v>
      </c>
      <c r="AA46" s="1349">
        <f t="shared" si="15"/>
        <v>1</v>
      </c>
      <c r="AB46" s="1349">
        <f t="shared" si="16"/>
        <v>1</v>
      </c>
      <c r="AC46" s="1349">
        <f t="shared" si="17"/>
        <v>1</v>
      </c>
    </row>
    <row r="47" spans="1:29" ht="15">
      <c r="A47" s="427" t="s">
        <v>1708</v>
      </c>
      <c r="B47" s="428"/>
      <c r="C47" s="1150" t="s">
        <v>16</v>
      </c>
      <c r="D47" s="1151"/>
      <c r="E47" s="1152"/>
      <c r="F47" s="1153"/>
      <c r="G47" s="1154"/>
      <c r="H47" s="1155"/>
      <c r="I47" s="1152"/>
      <c r="J47" s="1155"/>
      <c r="K47" s="1910"/>
      <c r="L47" s="2720"/>
      <c r="M47" s="2721"/>
      <c r="N47" s="2712"/>
      <c r="O47" s="2721"/>
      <c r="P47" s="3705" t="str">
        <f>A47</f>
        <v>成交单价（元/平方米）</v>
      </c>
      <c r="Q47" s="3705"/>
      <c r="R47" s="3725">
        <f>E47</f>
        <v>0</v>
      </c>
      <c r="S47" s="3725"/>
      <c r="T47" s="3725">
        <f>G47</f>
        <v>0</v>
      </c>
      <c r="U47" s="3725"/>
      <c r="V47" s="3725">
        <f>I47</f>
        <v>0</v>
      </c>
      <c r="W47" s="3725"/>
      <c r="X47" s="686"/>
      <c r="Y47" s="708"/>
      <c r="Z47" s="686"/>
      <c r="AA47" s="686"/>
      <c r="AB47" s="686"/>
      <c r="AC47" s="686"/>
    </row>
    <row r="48" spans="1:29" ht="15.75" thickBot="1">
      <c r="A48" s="434" t="s">
        <v>1709</v>
      </c>
      <c r="B48" s="435"/>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05" t="str">
        <f>A48</f>
        <v>比较价值（元/平方米）</v>
      </c>
      <c r="Q48" s="3705"/>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6"/>
      <c r="Y48" s="686"/>
      <c r="Z48" s="686"/>
      <c r="AA48" s="686"/>
      <c r="AB48" s="686"/>
      <c r="AC48" s="686"/>
    </row>
    <row r="49" spans="1:29" ht="15.75" thickBot="1">
      <c r="A49" s="438" t="s">
        <v>1710</v>
      </c>
      <c r="B49" s="439"/>
      <c r="C49" s="1158" t="e">
        <f>R49</f>
        <v>#DIV/0!</v>
      </c>
      <c r="D49" s="1159"/>
      <c r="E49" s="1159"/>
      <c r="F49" s="1159"/>
      <c r="G49" s="1159"/>
      <c r="H49" s="1159"/>
      <c r="I49" s="1159"/>
      <c r="J49" s="1159"/>
      <c r="K49" s="1911"/>
      <c r="L49" s="2720"/>
      <c r="M49" s="2721"/>
      <c r="N49" s="2721"/>
      <c r="O49" s="2721"/>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1714</v>
      </c>
      <c r="B57" s="686"/>
      <c r="C57" s="691"/>
      <c r="D57" s="691"/>
      <c r="E57" s="691"/>
      <c r="F57" s="692"/>
      <c r="G57" s="692"/>
      <c r="H57" s="691"/>
      <c r="I57" s="691"/>
      <c r="J57" s="691"/>
      <c r="K57" s="937"/>
      <c r="L57" s="938"/>
      <c r="M57" s="936"/>
      <c r="N57" s="936"/>
      <c r="O57" s="936"/>
      <c r="P57" s="1914"/>
      <c r="Q57" s="450"/>
    </row>
    <row r="58" spans="1:29" s="454" customFormat="1" ht="15">
      <c r="A58" s="451" t="s">
        <v>1715</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1716</v>
      </c>
      <c r="B60" s="462"/>
      <c r="C60" s="463"/>
      <c r="D60" s="464"/>
      <c r="E60" s="464"/>
      <c r="F60" s="464"/>
      <c r="G60" s="464"/>
      <c r="H60" s="464"/>
      <c r="I60" s="464"/>
      <c r="J60" s="464"/>
      <c r="K60" s="464"/>
      <c r="L60" s="464"/>
      <c r="M60" s="465"/>
      <c r="N60" s="464"/>
      <c r="O60" s="465"/>
      <c r="P60" s="1916"/>
      <c r="Q60" s="450"/>
    </row>
    <row r="61" spans="1:29" s="108" customFormat="1" ht="15">
      <c r="A61" s="467" t="s">
        <v>1717</v>
      </c>
      <c r="B61" s="456"/>
      <c r="C61" s="468" t="s">
        <v>1718</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1719</v>
      </c>
      <c r="B63" s="474" t="s">
        <v>1685</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1688</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1734</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1735</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1694</v>
      </c>
      <c r="B100" s="474" t="s">
        <v>1736</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1738</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1739</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1740</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1741</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1742</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1743</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1705</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1744</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4" t="s">
        <v>1749</v>
      </c>
      <c r="D138" s="134" t="s">
        <v>1750</v>
      </c>
      <c r="E138" s="1933" t="s">
        <v>1751</v>
      </c>
      <c r="F138" s="1934" t="s">
        <v>1752</v>
      </c>
      <c r="G138" s="134" t="s">
        <v>1750</v>
      </c>
      <c r="H138" s="135" t="s">
        <v>1751</v>
      </c>
      <c r="I138" s="1935"/>
      <c r="J138" s="134" t="s">
        <v>1753</v>
      </c>
      <c r="K138" s="135"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8">
        <f>ROUNDUP((J139-1)/2,0)</f>
        <v>10</v>
      </c>
      <c r="K140" s="874">
        <v>100</v>
      </c>
    </row>
    <row r="141" spans="1:17" ht="15">
      <c r="B141" s="869">
        <v>4</v>
      </c>
      <c r="C141" s="870">
        <v>102</v>
      </c>
      <c r="D141" s="870"/>
      <c r="E141" s="871"/>
      <c r="F141" s="872">
        <v>101.5</v>
      </c>
      <c r="G141" s="870"/>
      <c r="H141" s="873"/>
      <c r="I141" s="1938" t="s">
        <v>1758</v>
      </c>
      <c r="J141" s="268">
        <v>1</v>
      </c>
      <c r="K141" s="875">
        <f>ROUND(100+(J141-J140)*K139*100,1)</f>
        <v>96.4</v>
      </c>
    </row>
    <row r="142" spans="1:17" ht="15">
      <c r="B142" s="869">
        <v>3</v>
      </c>
      <c r="C142" s="870">
        <v>103</v>
      </c>
      <c r="D142" s="870"/>
      <c r="E142" s="871"/>
      <c r="F142" s="872">
        <v>101</v>
      </c>
      <c r="G142" s="870"/>
      <c r="H142" s="873"/>
      <c r="I142" s="1938" t="s">
        <v>1759</v>
      </c>
      <c r="J142" s="268">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1464</v>
      </c>
      <c r="B3" s="555">
        <f>IF(C2="——",C49,ROUND(B2*10000/D3,0))</f>
        <v>0</v>
      </c>
      <c r="C3" s="351" t="s">
        <v>1768</v>
      </c>
      <c r="D3" s="350">
        <f>IF(D1="",'数据-汇总表'!E3,SUMIF('数据-汇总表'!$C19:$C33,D1,'数据-汇总表'!$E19:$E33))</f>
        <v>309.42</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1769</v>
      </c>
      <c r="B4" s="353"/>
      <c r="C4" s="3706" t="s">
        <v>1770</v>
      </c>
      <c r="D4" s="3707"/>
      <c r="E4" s="3708" t="s">
        <v>1771</v>
      </c>
      <c r="F4" s="3709"/>
      <c r="G4" s="3706" t="s">
        <v>1772</v>
      </c>
      <c r="H4" s="3707"/>
      <c r="I4" s="3706" t="s">
        <v>1773</v>
      </c>
      <c r="J4" s="3707"/>
      <c r="K4" s="556" t="s">
        <v>1774</v>
      </c>
      <c r="L4" s="2711"/>
      <c r="M4" s="2712"/>
      <c r="N4" s="2712"/>
      <c r="O4" s="2712"/>
      <c r="P4" s="3710" t="s">
        <v>1775</v>
      </c>
      <c r="Q4" s="3711"/>
      <c r="R4" s="3695" t="s">
        <v>1771</v>
      </c>
      <c r="S4" s="3696"/>
      <c r="T4" s="3695" t="s">
        <v>1772</v>
      </c>
      <c r="U4" s="3696"/>
      <c r="V4" s="3718" t="s">
        <v>1773</v>
      </c>
      <c r="W4" s="3718"/>
      <c r="X4" s="1351"/>
      <c r="Y4" s="3695" t="s">
        <v>1775</v>
      </c>
      <c r="Z4" s="3696"/>
      <c r="AA4" s="3690" t="s">
        <v>1771</v>
      </c>
      <c r="AB4" s="3718" t="s">
        <v>1772</v>
      </c>
      <c r="AC4" s="3690" t="s">
        <v>1773</v>
      </c>
    </row>
    <row r="5" spans="1:29" ht="15">
      <c r="A5" s="355"/>
      <c r="B5" s="356"/>
      <c r="C5" s="3752" t="s">
        <v>1673</v>
      </c>
      <c r="D5" s="3753"/>
      <c r="E5" s="3750" t="s">
        <v>1674</v>
      </c>
      <c r="F5" s="3751"/>
      <c r="G5" s="3752" t="s">
        <v>1675</v>
      </c>
      <c r="H5" s="3753"/>
      <c r="I5" s="3752" t="s">
        <v>1676</v>
      </c>
      <c r="J5" s="3753"/>
      <c r="K5" s="556"/>
      <c r="L5" s="2711"/>
      <c r="M5" s="2712"/>
      <c r="N5" s="2712"/>
      <c r="O5" s="2712"/>
      <c r="P5" s="3712"/>
      <c r="Q5" s="3713"/>
      <c r="R5" s="3697"/>
      <c r="S5" s="3698"/>
      <c r="T5" s="3697"/>
      <c r="U5" s="3698"/>
      <c r="V5" s="3718"/>
      <c r="W5" s="3718"/>
      <c r="X5" s="1351"/>
      <c r="Y5" s="3697"/>
      <c r="Z5" s="3698"/>
      <c r="AA5" s="3691"/>
      <c r="AB5" s="3718"/>
      <c r="AC5" s="3691"/>
    </row>
    <row r="6" spans="1:29" ht="15.75" thickBot="1">
      <c r="A6" s="357"/>
      <c r="B6" s="358"/>
      <c r="C6" s="3701" t="s">
        <v>1677</v>
      </c>
      <c r="D6" s="3702"/>
      <c r="E6" s="3703" t="s">
        <v>1677</v>
      </c>
      <c r="F6" s="3704"/>
      <c r="G6" s="3701" t="s">
        <v>1677</v>
      </c>
      <c r="H6" s="3702"/>
      <c r="I6" s="3701" t="s">
        <v>1677</v>
      </c>
      <c r="J6" s="3702"/>
      <c r="K6" s="556" t="s">
        <v>1678</v>
      </c>
      <c r="L6" s="2711"/>
      <c r="M6" s="2712"/>
      <c r="N6" s="2712"/>
      <c r="O6" s="2712"/>
      <c r="P6" s="3714"/>
      <c r="Q6" s="3715"/>
      <c r="R6" s="3697"/>
      <c r="S6" s="3698"/>
      <c r="T6" s="3716"/>
      <c r="U6" s="3717"/>
      <c r="V6" s="3718"/>
      <c r="W6" s="3718"/>
      <c r="X6" s="1351"/>
      <c r="Y6" s="3716"/>
      <c r="Z6" s="3717"/>
      <c r="AA6" s="3692"/>
      <c r="AB6" s="3718"/>
      <c r="AC6" s="3692"/>
    </row>
    <row r="7" spans="1:29" s="108" customFormat="1" ht="15.75" thickBot="1">
      <c r="A7" s="359" t="s">
        <v>1679</v>
      </c>
      <c r="B7" s="360"/>
      <c r="C7" s="361">
        <f>'数据-取费表'!B2</f>
        <v>45888</v>
      </c>
      <c r="D7" s="362">
        <v>100</v>
      </c>
      <c r="E7" s="363"/>
      <c r="F7" s="364">
        <f>SUMIF(58:58,YEAR(E7)&amp;"-"&amp;MONTH(E7),59:59)</f>
        <v>0</v>
      </c>
      <c r="G7" s="363"/>
      <c r="H7" s="362">
        <f>SUMIF(58:58,YEAR(G7)&amp;"-"&amp;MONTH(G7),59:59)</f>
        <v>0</v>
      </c>
      <c r="I7" s="363"/>
      <c r="J7" s="362">
        <f>SUMIF(58:58,YEAR(I7)&amp;"-"&amp;MONTH(I7),59:59)</f>
        <v>0</v>
      </c>
      <c r="K7" s="557"/>
      <c r="L7" s="2713"/>
      <c r="M7" s="2714"/>
      <c r="N7" s="2714"/>
      <c r="O7" s="2714"/>
      <c r="P7" s="3693" t="s">
        <v>1680</v>
      </c>
      <c r="Q7" s="3719"/>
      <c r="R7" s="697" t="s">
        <v>14</v>
      </c>
      <c r="S7" s="698">
        <f t="shared" ref="S7:S15" si="0">F7</f>
        <v>0</v>
      </c>
      <c r="T7" s="697" t="s">
        <v>14</v>
      </c>
      <c r="U7" s="698">
        <f t="shared" ref="U7:U15" si="1">H7</f>
        <v>0</v>
      </c>
      <c r="V7" s="697" t="s">
        <v>14</v>
      </c>
      <c r="W7" s="698">
        <f t="shared" ref="W7:W15" si="2">J7</f>
        <v>0</v>
      </c>
      <c r="X7" s="699"/>
      <c r="Y7" s="3693" t="s">
        <v>1680</v>
      </c>
      <c r="Z7" s="369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693" t="s">
        <v>1683</v>
      </c>
      <c r="Q8" s="3694"/>
      <c r="R8" s="697" t="s">
        <v>14</v>
      </c>
      <c r="S8" s="698">
        <f t="shared" si="0"/>
        <v>100</v>
      </c>
      <c r="T8" s="697" t="s">
        <v>14</v>
      </c>
      <c r="U8" s="698">
        <f t="shared" si="1"/>
        <v>100</v>
      </c>
      <c r="V8" s="697" t="s">
        <v>14</v>
      </c>
      <c r="W8" s="698">
        <f t="shared" si="2"/>
        <v>100</v>
      </c>
      <c r="X8" s="699"/>
      <c r="Y8" s="3693" t="s">
        <v>1683</v>
      </c>
      <c r="Z8" s="3694"/>
      <c r="AA8" s="700">
        <f t="shared" ref="AA8:AA46" si="3">D8/F8</f>
        <v>1</v>
      </c>
      <c r="AB8" s="700">
        <f t="shared" ref="AB8:AB46" si="4">D8/H8</f>
        <v>1</v>
      </c>
      <c r="AC8" s="700">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754"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700">
        <f t="shared" si="5"/>
        <v>1</v>
      </c>
    </row>
    <row r="10" spans="1:29" s="375" customFormat="1" ht="27">
      <c r="A10" s="371"/>
      <c r="B10" s="372" t="s">
        <v>1688</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754"/>
      <c r="Q10" s="1339" t="str">
        <f t="shared" si="6"/>
        <v>土地使用年限（年）</v>
      </c>
      <c r="R10" s="697" t="s">
        <v>14</v>
      </c>
      <c r="S10" s="698">
        <f t="shared" si="0"/>
        <v>100</v>
      </c>
      <c r="T10" s="697" t="s">
        <v>14</v>
      </c>
      <c r="U10" s="698">
        <f t="shared" si="1"/>
        <v>100</v>
      </c>
      <c r="V10" s="697" t="s">
        <v>14</v>
      </c>
      <c r="W10" s="698">
        <f t="shared" si="2"/>
        <v>100</v>
      </c>
      <c r="X10" s="699"/>
      <c r="Y10" s="3658"/>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754"/>
      <c r="Q11" s="1339" t="str">
        <f t="shared" si="6"/>
        <v>容积率</v>
      </c>
      <c r="R11" s="697" t="s">
        <v>14</v>
      </c>
      <c r="S11" s="698" t="e">
        <f t="shared" si="0"/>
        <v>#N/A</v>
      </c>
      <c r="T11" s="697" t="s">
        <v>14</v>
      </c>
      <c r="U11" s="698" t="e">
        <f t="shared" si="1"/>
        <v>#N/A</v>
      </c>
      <c r="V11" s="697" t="s">
        <v>14</v>
      </c>
      <c r="W11" s="698" t="e">
        <f t="shared" si="2"/>
        <v>#N/A</v>
      </c>
      <c r="X11" s="699"/>
      <c r="Y11" s="3658"/>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754"/>
      <c r="Q12" s="1339">
        <f t="shared" si="6"/>
        <v>111</v>
      </c>
      <c r="R12" s="697" t="s">
        <v>14</v>
      </c>
      <c r="S12" s="698">
        <f t="shared" si="0"/>
        <v>100</v>
      </c>
      <c r="T12" s="697" t="s">
        <v>14</v>
      </c>
      <c r="U12" s="698">
        <f t="shared" si="1"/>
        <v>100</v>
      </c>
      <c r="V12" s="697" t="s">
        <v>14</v>
      </c>
      <c r="W12" s="698">
        <f t="shared" si="2"/>
        <v>100</v>
      </c>
      <c r="X12" s="699"/>
      <c r="Y12" s="3658"/>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754"/>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754"/>
      <c r="Q14" s="1339">
        <f t="shared" si="6"/>
        <v>111</v>
      </c>
      <c r="R14" s="697" t="s">
        <v>14</v>
      </c>
      <c r="S14" s="698">
        <f t="shared" si="0"/>
        <v>100</v>
      </c>
      <c r="T14" s="697" t="s">
        <v>14</v>
      </c>
      <c r="U14" s="698">
        <f t="shared" si="1"/>
        <v>100</v>
      </c>
      <c r="V14" s="697" t="s">
        <v>14</v>
      </c>
      <c r="W14" s="698">
        <f t="shared" si="2"/>
        <v>100</v>
      </c>
      <c r="X14" s="699"/>
      <c r="Y14" s="3658"/>
      <c r="Z14" s="52">
        <f t="shared" si="7"/>
        <v>111</v>
      </c>
      <c r="AA14" s="700">
        <f t="shared" si="3"/>
        <v>1</v>
      </c>
      <c r="AB14" s="700">
        <f t="shared" si="4"/>
        <v>1</v>
      </c>
      <c r="AC14" s="700">
        <f t="shared" si="5"/>
        <v>1</v>
      </c>
    </row>
    <row r="15" spans="1:29" ht="71.25">
      <c r="A15" s="388" t="s">
        <v>1690</v>
      </c>
      <c r="B15" s="61" t="s">
        <v>1777</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58" t="s">
        <v>1691</v>
      </c>
      <c r="Q15" s="1348" t="str">
        <f t="shared" si="6"/>
        <v>商业繁华度</v>
      </c>
      <c r="R15" s="701" t="s">
        <v>14</v>
      </c>
      <c r="S15" s="702">
        <f t="shared" si="0"/>
        <v>100</v>
      </c>
      <c r="T15" s="701" t="s">
        <v>14</v>
      </c>
      <c r="U15" s="702">
        <f t="shared" si="1"/>
        <v>100</v>
      </c>
      <c r="V15" s="701" t="s">
        <v>14</v>
      </c>
      <c r="W15" s="702">
        <f t="shared" si="2"/>
        <v>100</v>
      </c>
      <c r="X15" s="1351"/>
      <c r="Y15" s="3720"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59"/>
      <c r="Q16" s="1348"/>
      <c r="R16" s="701"/>
      <c r="S16" s="702"/>
      <c r="T16" s="701"/>
      <c r="U16" s="702"/>
      <c r="V16" s="701"/>
      <c r="W16" s="702"/>
      <c r="X16" s="1351"/>
      <c r="Y16" s="3721"/>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59"/>
      <c r="Q17" s="1348" t="str">
        <f>B17</f>
        <v>交通便捷度</v>
      </c>
      <c r="R17" s="701" t="s">
        <v>14</v>
      </c>
      <c r="S17" s="702">
        <f>F17</f>
        <v>100</v>
      </c>
      <c r="T17" s="701" t="s">
        <v>14</v>
      </c>
      <c r="U17" s="702">
        <f>H17</f>
        <v>100</v>
      </c>
      <c r="V17" s="701" t="s">
        <v>14</v>
      </c>
      <c r="W17" s="702">
        <f>J17</f>
        <v>100</v>
      </c>
      <c r="X17" s="1351"/>
      <c r="Y17" s="3721"/>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59"/>
      <c r="Q18" s="1348"/>
      <c r="R18" s="701"/>
      <c r="S18" s="702"/>
      <c r="T18" s="701"/>
      <c r="U18" s="702"/>
      <c r="V18" s="701"/>
      <c r="W18" s="702"/>
      <c r="X18" s="1351"/>
      <c r="Y18" s="3721"/>
      <c r="Z18" s="1352"/>
      <c r="AA18" s="1349">
        <v>1</v>
      </c>
      <c r="AB18" s="1349">
        <v>1</v>
      </c>
      <c r="AC18" s="1349">
        <v>1</v>
      </c>
    </row>
    <row r="19" spans="1:29" ht="42.75">
      <c r="A19" s="376"/>
      <c r="B19" s="399" t="s">
        <v>1778</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59"/>
      <c r="Q19" s="1348" t="str">
        <f>B19</f>
        <v>公共配套设施</v>
      </c>
      <c r="R19" s="701" t="s">
        <v>14</v>
      </c>
      <c r="S19" s="702">
        <f>F19</f>
        <v>100</v>
      </c>
      <c r="T19" s="701" t="s">
        <v>14</v>
      </c>
      <c r="U19" s="702">
        <f>H19</f>
        <v>100</v>
      </c>
      <c r="V19" s="701" t="s">
        <v>14</v>
      </c>
      <c r="W19" s="702">
        <f>J19</f>
        <v>100</v>
      </c>
      <c r="X19" s="1351"/>
      <c r="Y19" s="3721"/>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59"/>
      <c r="Q20" s="1348"/>
      <c r="R20" s="701"/>
      <c r="S20" s="702"/>
      <c r="T20" s="701"/>
      <c r="U20" s="702"/>
      <c r="V20" s="701"/>
      <c r="W20" s="702"/>
      <c r="X20" s="1351"/>
      <c r="Y20" s="3721"/>
      <c r="Z20" s="1352"/>
      <c r="AA20" s="1349">
        <v>1</v>
      </c>
      <c r="AB20" s="1349">
        <v>1</v>
      </c>
      <c r="AC20" s="1349">
        <v>1</v>
      </c>
    </row>
    <row r="21" spans="1:29" ht="28.5">
      <c r="A21" s="376"/>
      <c r="B21" s="1127" t="s">
        <v>1779</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59"/>
      <c r="Q21" s="1348" t="str">
        <f>B21</f>
        <v>基础设施水平</v>
      </c>
      <c r="R21" s="701" t="s">
        <v>14</v>
      </c>
      <c r="S21" s="702">
        <f>F21</f>
        <v>100</v>
      </c>
      <c r="T21" s="701" t="s">
        <v>14</v>
      </c>
      <c r="U21" s="702">
        <f>H21</f>
        <v>100</v>
      </c>
      <c r="V21" s="701" t="s">
        <v>14</v>
      </c>
      <c r="W21" s="702">
        <f>J21</f>
        <v>100</v>
      </c>
      <c r="X21" s="1351"/>
      <c r="Y21" s="3721"/>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59"/>
      <c r="Q22" s="1348"/>
      <c r="R22" s="701"/>
      <c r="S22" s="702"/>
      <c r="T22" s="701"/>
      <c r="U22" s="702"/>
      <c r="V22" s="701"/>
      <c r="W22" s="702"/>
      <c r="X22" s="1351"/>
      <c r="Y22" s="3721"/>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59"/>
      <c r="Q23" s="1348" t="str">
        <f>B23</f>
        <v>自然及人文环境</v>
      </c>
      <c r="R23" s="701" t="s">
        <v>14</v>
      </c>
      <c r="S23" s="702">
        <f>F23</f>
        <v>100</v>
      </c>
      <c r="T23" s="701" t="s">
        <v>14</v>
      </c>
      <c r="U23" s="702">
        <f>H23</f>
        <v>100</v>
      </c>
      <c r="V23" s="701" t="s">
        <v>14</v>
      </c>
      <c r="W23" s="702">
        <f>J23</f>
        <v>100</v>
      </c>
      <c r="X23" s="1351"/>
      <c r="Y23" s="3721"/>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59"/>
      <c r="Q24" s="1348"/>
      <c r="R24" s="701"/>
      <c r="S24" s="702"/>
      <c r="T24" s="701"/>
      <c r="U24" s="702"/>
      <c r="V24" s="701"/>
      <c r="W24" s="702"/>
      <c r="X24" s="1351"/>
      <c r="Y24" s="3721"/>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59"/>
      <c r="Q25" s="1348" t="str">
        <f t="shared" ref="Q25:Q46" si="11">B25</f>
        <v>临街状况</v>
      </c>
      <c r="R25" s="701" t="s">
        <v>14</v>
      </c>
      <c r="S25" s="702">
        <f>F25</f>
        <v>100</v>
      </c>
      <c r="T25" s="701" t="s">
        <v>14</v>
      </c>
      <c r="U25" s="702">
        <f>H25</f>
        <v>100</v>
      </c>
      <c r="V25" s="701" t="s">
        <v>14</v>
      </c>
      <c r="W25" s="702">
        <f>J25</f>
        <v>100</v>
      </c>
      <c r="X25" s="1351"/>
      <c r="Y25" s="3721"/>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59"/>
      <c r="Q26" s="1348" t="str">
        <f t="shared" si="11"/>
        <v>平面位置/可视性</v>
      </c>
      <c r="R26" s="701" t="s">
        <v>14</v>
      </c>
      <c r="S26" s="702">
        <f>F26</f>
        <v>100</v>
      </c>
      <c r="T26" s="701" t="s">
        <v>14</v>
      </c>
      <c r="U26" s="702">
        <f>H26</f>
        <v>100</v>
      </c>
      <c r="V26" s="701" t="s">
        <v>14</v>
      </c>
      <c r="W26" s="702">
        <f>J26</f>
        <v>100</v>
      </c>
      <c r="X26" s="1351"/>
      <c r="Y26" s="3721"/>
      <c r="Z26" s="1352" t="str">
        <f>Q26</f>
        <v>平面位置/可视性</v>
      </c>
      <c r="AA26" s="1349">
        <f t="shared" si="3"/>
        <v>1</v>
      </c>
      <c r="AB26" s="1349">
        <f t="shared" si="4"/>
        <v>1</v>
      </c>
      <c r="AC26" s="1349">
        <f t="shared" si="5"/>
        <v>1</v>
      </c>
    </row>
    <row r="27" spans="1:29" s="108" customFormat="1" ht="15">
      <c r="A27" s="379"/>
      <c r="B27" s="399" t="s">
        <v>1782</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59"/>
      <c r="Q27" s="1339" t="str">
        <f t="shared" si="11"/>
        <v>人流量</v>
      </c>
      <c r="R27" s="697" t="s">
        <v>14</v>
      </c>
      <c r="S27" s="698">
        <f>F27</f>
        <v>100</v>
      </c>
      <c r="T27" s="697" t="s">
        <v>14</v>
      </c>
      <c r="U27" s="698">
        <f>H27</f>
        <v>100</v>
      </c>
      <c r="V27" s="697" t="s">
        <v>14</v>
      </c>
      <c r="W27" s="698">
        <f>J27</f>
        <v>100</v>
      </c>
      <c r="X27" s="699"/>
      <c r="Y27" s="3721"/>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59"/>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1"/>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59"/>
      <c r="Q29" s="1348">
        <f t="shared" si="11"/>
        <v>111</v>
      </c>
      <c r="R29" s="701" t="s">
        <v>14</v>
      </c>
      <c r="S29" s="702">
        <f t="shared" si="12"/>
        <v>100</v>
      </c>
      <c r="T29" s="701" t="s">
        <v>14</v>
      </c>
      <c r="U29" s="702">
        <f t="shared" si="13"/>
        <v>100</v>
      </c>
      <c r="V29" s="701" t="s">
        <v>14</v>
      </c>
      <c r="W29" s="702">
        <f t="shared" si="14"/>
        <v>100</v>
      </c>
      <c r="X29" s="1351"/>
      <c r="Y29" s="3721"/>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59"/>
      <c r="Q30" s="1348">
        <f t="shared" si="11"/>
        <v>111</v>
      </c>
      <c r="R30" s="701" t="s">
        <v>14</v>
      </c>
      <c r="S30" s="702">
        <f t="shared" si="12"/>
        <v>100</v>
      </c>
      <c r="T30" s="701" t="s">
        <v>14</v>
      </c>
      <c r="U30" s="702">
        <f t="shared" si="13"/>
        <v>100</v>
      </c>
      <c r="V30" s="701" t="s">
        <v>14</v>
      </c>
      <c r="W30" s="702">
        <f t="shared" si="14"/>
        <v>100</v>
      </c>
      <c r="X30" s="1351"/>
      <c r="Y30" s="3721"/>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59"/>
      <c r="Q31" s="1348">
        <f t="shared" si="11"/>
        <v>111</v>
      </c>
      <c r="R31" s="701" t="s">
        <v>14</v>
      </c>
      <c r="S31" s="702">
        <f t="shared" si="12"/>
        <v>100</v>
      </c>
      <c r="T31" s="701" t="s">
        <v>14</v>
      </c>
      <c r="U31" s="702">
        <f t="shared" si="13"/>
        <v>100</v>
      </c>
      <c r="V31" s="701" t="s">
        <v>14</v>
      </c>
      <c r="W31" s="702">
        <f t="shared" si="14"/>
        <v>100</v>
      </c>
      <c r="X31" s="1351"/>
      <c r="Y31" s="3721"/>
      <c r="Z31" s="1352">
        <f t="shared" si="15"/>
        <v>111</v>
      </c>
      <c r="AA31" s="1349">
        <f t="shared" si="3"/>
        <v>1</v>
      </c>
      <c r="AB31" s="1349">
        <f t="shared" si="4"/>
        <v>1</v>
      </c>
      <c r="AC31" s="1349">
        <f t="shared" si="5"/>
        <v>1</v>
      </c>
    </row>
    <row r="32" spans="1:29" ht="15">
      <c r="A32" s="388" t="s">
        <v>1694</v>
      </c>
      <c r="B32" s="63" t="s">
        <v>1784</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55" t="s">
        <v>1696</v>
      </c>
      <c r="Q32" s="1348" t="str">
        <f t="shared" si="11"/>
        <v>商业类型</v>
      </c>
      <c r="R32" s="701" t="s">
        <v>14</v>
      </c>
      <c r="S32" s="702">
        <f t="shared" si="12"/>
        <v>100</v>
      </c>
      <c r="T32" s="701" t="s">
        <v>14</v>
      </c>
      <c r="U32" s="702">
        <f t="shared" si="13"/>
        <v>100</v>
      </c>
      <c r="V32" s="701" t="s">
        <v>14</v>
      </c>
      <c r="W32" s="702">
        <f t="shared" si="14"/>
        <v>100</v>
      </c>
      <c r="X32" s="1351"/>
      <c r="Y32" s="3723" t="s">
        <v>1696</v>
      </c>
      <c r="Z32" s="1352" t="str">
        <f t="shared" si="15"/>
        <v>商业类型</v>
      </c>
      <c r="AA32" s="1349">
        <f t="shared" si="3"/>
        <v>1</v>
      </c>
      <c r="AB32" s="1349">
        <f t="shared" si="4"/>
        <v>1</v>
      </c>
      <c r="AC32" s="1349">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56"/>
      <c r="Q33" s="703" t="str">
        <f t="shared" si="11"/>
        <v>项目建筑规模</v>
      </c>
      <c r="R33" s="704" t="s">
        <v>14</v>
      </c>
      <c r="S33" s="705" t="e">
        <f t="shared" si="12"/>
        <v>#N/A</v>
      </c>
      <c r="T33" s="704" t="s">
        <v>14</v>
      </c>
      <c r="U33" s="705" t="e">
        <f t="shared" si="13"/>
        <v>#N/A</v>
      </c>
      <c r="V33" s="704" t="s">
        <v>14</v>
      </c>
      <c r="W33" s="705" t="e">
        <f t="shared" si="14"/>
        <v>#N/A</v>
      </c>
      <c r="X33" s="706"/>
      <c r="Y33" s="3723"/>
      <c r="Z33" s="707" t="str">
        <f t="shared" si="15"/>
        <v>项目建筑规模</v>
      </c>
      <c r="AA33" s="1349" t="e">
        <f t="shared" si="3"/>
        <v>#N/A</v>
      </c>
      <c r="AB33" s="1349" t="e">
        <f t="shared" si="4"/>
        <v>#N/A</v>
      </c>
      <c r="AC33" s="1349" t="e">
        <f t="shared" si="5"/>
        <v>#N/A</v>
      </c>
    </row>
    <row r="34" spans="1:29" ht="15">
      <c r="A34" s="420"/>
      <c r="B34" s="372" t="s">
        <v>1698</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56"/>
      <c r="Q34" s="1348" t="str">
        <f t="shared" si="11"/>
        <v>建筑结构</v>
      </c>
      <c r="R34" s="701" t="s">
        <v>14</v>
      </c>
      <c r="S34" s="702">
        <f t="shared" si="12"/>
        <v>100</v>
      </c>
      <c r="T34" s="701" t="s">
        <v>14</v>
      </c>
      <c r="U34" s="702">
        <f t="shared" si="13"/>
        <v>100</v>
      </c>
      <c r="V34" s="701" t="s">
        <v>14</v>
      </c>
      <c r="W34" s="702">
        <f t="shared" si="14"/>
        <v>100</v>
      </c>
      <c r="X34" s="1351"/>
      <c r="Y34" s="3723"/>
      <c r="Z34" s="1352" t="str">
        <f t="shared" si="15"/>
        <v>建筑结构</v>
      </c>
      <c r="AA34" s="1349">
        <f t="shared" si="3"/>
        <v>1</v>
      </c>
      <c r="AB34" s="1349">
        <f t="shared" si="4"/>
        <v>1</v>
      </c>
      <c r="AC34" s="1349">
        <f t="shared" si="5"/>
        <v>1</v>
      </c>
    </row>
    <row r="35" spans="1:29" ht="15">
      <c r="A35" s="420"/>
      <c r="B35" s="372" t="s">
        <v>1785</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56"/>
      <c r="Q35" s="1348" t="str">
        <f t="shared" si="11"/>
        <v>公共部分装修</v>
      </c>
      <c r="R35" s="701" t="s">
        <v>14</v>
      </c>
      <c r="S35" s="702">
        <f t="shared" si="12"/>
        <v>100</v>
      </c>
      <c r="T35" s="701" t="s">
        <v>14</v>
      </c>
      <c r="U35" s="702">
        <f t="shared" si="13"/>
        <v>100</v>
      </c>
      <c r="V35" s="701" t="s">
        <v>14</v>
      </c>
      <c r="W35" s="702">
        <f t="shared" si="14"/>
        <v>100</v>
      </c>
      <c r="X35" s="1351"/>
      <c r="Y35" s="3723"/>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56"/>
      <c r="Q36" s="1348" t="str">
        <f t="shared" si="11"/>
        <v>成新度</v>
      </c>
      <c r="R36" s="701" t="s">
        <v>14</v>
      </c>
      <c r="S36" s="702" t="e">
        <f t="shared" si="12"/>
        <v>#N/A</v>
      </c>
      <c r="T36" s="701" t="s">
        <v>14</v>
      </c>
      <c r="U36" s="702" t="e">
        <f t="shared" si="13"/>
        <v>#N/A</v>
      </c>
      <c r="V36" s="701" t="s">
        <v>14</v>
      </c>
      <c r="W36" s="702" t="e">
        <f t="shared" si="14"/>
        <v>#N/A</v>
      </c>
      <c r="X36" s="1351"/>
      <c r="Y36" s="3723"/>
      <c r="Z36" s="1352" t="str">
        <f t="shared" si="15"/>
        <v>成新度</v>
      </c>
      <c r="AA36" s="1349" t="e">
        <f t="shared" si="3"/>
        <v>#N/A</v>
      </c>
      <c r="AB36" s="1349" t="e">
        <f t="shared" si="4"/>
        <v>#N/A</v>
      </c>
      <c r="AC36" s="1349" t="e">
        <f t="shared" si="5"/>
        <v>#N/A</v>
      </c>
    </row>
    <row r="37" spans="1:29" s="108" customFormat="1" ht="15">
      <c r="A37" s="421"/>
      <c r="B37" s="372" t="s">
        <v>1787</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56"/>
      <c r="Q37" s="1339" t="str">
        <f t="shared" si="11"/>
        <v>市政基础设施</v>
      </c>
      <c r="R37" s="697" t="s">
        <v>14</v>
      </c>
      <c r="S37" s="698">
        <f t="shared" si="12"/>
        <v>100</v>
      </c>
      <c r="T37" s="697" t="s">
        <v>14</v>
      </c>
      <c r="U37" s="698">
        <f t="shared" si="13"/>
        <v>100</v>
      </c>
      <c r="V37" s="697" t="s">
        <v>14</v>
      </c>
      <c r="W37" s="698">
        <f t="shared" si="14"/>
        <v>100</v>
      </c>
      <c r="X37" s="699"/>
      <c r="Y37" s="3723"/>
      <c r="Z37" s="52" t="str">
        <f t="shared" si="15"/>
        <v>市政基础设施</v>
      </c>
      <c r="AA37" s="700">
        <f t="shared" si="3"/>
        <v>1</v>
      </c>
      <c r="AB37" s="700">
        <f t="shared" si="4"/>
        <v>1</v>
      </c>
      <c r="AC37" s="700">
        <f t="shared" si="5"/>
        <v>1</v>
      </c>
    </row>
    <row r="38" spans="1:29" ht="15">
      <c r="A38" s="420"/>
      <c r="B38" s="372" t="s">
        <v>1788</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56" t="s">
        <v>1696</v>
      </c>
      <c r="Q38" s="1348" t="str">
        <f t="shared" si="11"/>
        <v>业态</v>
      </c>
      <c r="R38" s="701" t="s">
        <v>14</v>
      </c>
      <c r="S38" s="702">
        <f t="shared" si="12"/>
        <v>100</v>
      </c>
      <c r="T38" s="701" t="s">
        <v>14</v>
      </c>
      <c r="U38" s="702">
        <f t="shared" si="13"/>
        <v>100</v>
      </c>
      <c r="V38" s="701" t="s">
        <v>14</v>
      </c>
      <c r="W38" s="702">
        <f t="shared" si="14"/>
        <v>100</v>
      </c>
      <c r="X38" s="1351"/>
      <c r="Y38" s="3723" t="s">
        <v>1696</v>
      </c>
      <c r="Z38" s="1352" t="str">
        <f t="shared" si="15"/>
        <v>业态</v>
      </c>
      <c r="AA38" s="1349">
        <f t="shared" si="3"/>
        <v>1</v>
      </c>
      <c r="AB38" s="1349">
        <f t="shared" si="4"/>
        <v>1</v>
      </c>
      <c r="AC38" s="1349">
        <f t="shared" si="5"/>
        <v>1</v>
      </c>
    </row>
    <row r="39" spans="1:29" ht="15">
      <c r="A39" s="420"/>
      <c r="B39" s="372" t="s">
        <v>1789</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56"/>
      <c r="Q39" s="1348" t="str">
        <f t="shared" si="11"/>
        <v>层高</v>
      </c>
      <c r="R39" s="701" t="s">
        <v>14</v>
      </c>
      <c r="S39" s="702">
        <f t="shared" si="12"/>
        <v>100</v>
      </c>
      <c r="T39" s="701" t="s">
        <v>14</v>
      </c>
      <c r="U39" s="702">
        <f t="shared" si="13"/>
        <v>100</v>
      </c>
      <c r="V39" s="701" t="s">
        <v>14</v>
      </c>
      <c r="W39" s="702">
        <f t="shared" si="14"/>
        <v>100</v>
      </c>
      <c r="X39" s="1351"/>
      <c r="Y39" s="3723"/>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56"/>
      <c r="Q40" s="1348" t="str">
        <f t="shared" si="11"/>
        <v>单套建筑面积</v>
      </c>
      <c r="R40" s="701" t="s">
        <v>14</v>
      </c>
      <c r="S40" s="702">
        <f t="shared" si="12"/>
        <v>100</v>
      </c>
      <c r="T40" s="701" t="s">
        <v>14</v>
      </c>
      <c r="U40" s="702">
        <f t="shared" si="13"/>
        <v>100</v>
      </c>
      <c r="V40" s="701" t="s">
        <v>14</v>
      </c>
      <c r="W40" s="702">
        <f t="shared" si="14"/>
        <v>100</v>
      </c>
      <c r="X40" s="1351"/>
      <c r="Y40" s="3723"/>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56"/>
      <c r="Q41" s="703" t="str">
        <f t="shared" si="11"/>
        <v>进深比</v>
      </c>
      <c r="R41" s="704" t="s">
        <v>14</v>
      </c>
      <c r="S41" s="705">
        <f t="shared" si="12"/>
        <v>100</v>
      </c>
      <c r="T41" s="704" t="s">
        <v>14</v>
      </c>
      <c r="U41" s="705">
        <f t="shared" si="13"/>
        <v>100</v>
      </c>
      <c r="V41" s="704" t="s">
        <v>14</v>
      </c>
      <c r="W41" s="705">
        <f t="shared" si="14"/>
        <v>100</v>
      </c>
      <c r="X41" s="706"/>
      <c r="Y41" s="3723"/>
      <c r="Z41" s="707" t="str">
        <f t="shared" si="15"/>
        <v>进深比</v>
      </c>
      <c r="AA41" s="1349">
        <f t="shared" si="3"/>
        <v>1</v>
      </c>
      <c r="AB41" s="1349">
        <f t="shared" si="4"/>
        <v>1</v>
      </c>
      <c r="AC41" s="1349">
        <f t="shared" si="5"/>
        <v>1</v>
      </c>
    </row>
    <row r="42" spans="1:29" ht="15">
      <c r="A42" s="420"/>
      <c r="B42" s="372" t="s">
        <v>1792</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56"/>
      <c r="Q42" s="1348" t="str">
        <f t="shared" si="11"/>
        <v>内部装修</v>
      </c>
      <c r="R42" s="701" t="s">
        <v>14</v>
      </c>
      <c r="S42" s="702">
        <f t="shared" si="12"/>
        <v>100</v>
      </c>
      <c r="T42" s="701" t="s">
        <v>14</v>
      </c>
      <c r="U42" s="702">
        <f t="shared" si="13"/>
        <v>100</v>
      </c>
      <c r="V42" s="701" t="s">
        <v>14</v>
      </c>
      <c r="W42" s="702">
        <f t="shared" si="14"/>
        <v>100</v>
      </c>
      <c r="X42" s="1351"/>
      <c r="Y42" s="3723"/>
      <c r="Z42" s="1352" t="str">
        <f t="shared" si="15"/>
        <v>内部装修</v>
      </c>
      <c r="AA42" s="1349">
        <f t="shared" si="3"/>
        <v>1</v>
      </c>
      <c r="AB42" s="1349">
        <f t="shared" si="4"/>
        <v>1</v>
      </c>
      <c r="AC42" s="1349">
        <f t="shared" si="5"/>
        <v>1</v>
      </c>
    </row>
    <row r="43" spans="1:29" ht="15">
      <c r="A43" s="420"/>
      <c r="B43" s="372" t="s">
        <v>1707</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56"/>
      <c r="Q43" s="1348" t="str">
        <f t="shared" si="11"/>
        <v>内部装修维护情况</v>
      </c>
      <c r="R43" s="701" t="s">
        <v>14</v>
      </c>
      <c r="S43" s="702">
        <f t="shared" si="12"/>
        <v>100</v>
      </c>
      <c r="T43" s="701" t="s">
        <v>14</v>
      </c>
      <c r="U43" s="702">
        <f t="shared" si="13"/>
        <v>100</v>
      </c>
      <c r="V43" s="701" t="s">
        <v>14</v>
      </c>
      <c r="W43" s="702">
        <f t="shared" si="14"/>
        <v>100</v>
      </c>
      <c r="X43" s="1351"/>
      <c r="Y43" s="3723"/>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56"/>
      <c r="Q44" s="1339">
        <f t="shared" si="11"/>
        <v>111</v>
      </c>
      <c r="R44" s="697" t="s">
        <v>14</v>
      </c>
      <c r="S44" s="698">
        <f t="shared" si="12"/>
        <v>100</v>
      </c>
      <c r="T44" s="697" t="s">
        <v>14</v>
      </c>
      <c r="U44" s="698">
        <f t="shared" si="13"/>
        <v>100</v>
      </c>
      <c r="V44" s="697" t="s">
        <v>14</v>
      </c>
      <c r="W44" s="698">
        <f t="shared" si="14"/>
        <v>100</v>
      </c>
      <c r="X44" s="699"/>
      <c r="Y44" s="3723"/>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56"/>
      <c r="Q45" s="1348">
        <f t="shared" si="11"/>
        <v>111</v>
      </c>
      <c r="R45" s="701" t="s">
        <v>14</v>
      </c>
      <c r="S45" s="702">
        <f t="shared" si="12"/>
        <v>100</v>
      </c>
      <c r="T45" s="701" t="s">
        <v>14</v>
      </c>
      <c r="U45" s="702">
        <f t="shared" si="13"/>
        <v>100</v>
      </c>
      <c r="V45" s="701" t="s">
        <v>14</v>
      </c>
      <c r="W45" s="702">
        <f t="shared" si="14"/>
        <v>100</v>
      </c>
      <c r="X45" s="1351"/>
      <c r="Y45" s="3723"/>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57"/>
      <c r="Q46" s="1348">
        <f t="shared" si="11"/>
        <v>111</v>
      </c>
      <c r="R46" s="701" t="s">
        <v>14</v>
      </c>
      <c r="S46" s="702">
        <f t="shared" si="12"/>
        <v>100</v>
      </c>
      <c r="T46" s="701" t="s">
        <v>14</v>
      </c>
      <c r="U46" s="702">
        <f t="shared" si="13"/>
        <v>100</v>
      </c>
      <c r="V46" s="701" t="s">
        <v>14</v>
      </c>
      <c r="W46" s="702">
        <f t="shared" si="14"/>
        <v>100</v>
      </c>
      <c r="X46" s="1351"/>
      <c r="Y46" s="3724"/>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20"/>
      <c r="M47" s="2721"/>
      <c r="N47" s="2712"/>
      <c r="O47" s="2721"/>
      <c r="P47" s="3705" t="str">
        <f>A47</f>
        <v>成交单价（元/平方米）</v>
      </c>
      <c r="Q47" s="3705"/>
      <c r="R47" s="3718">
        <f>E47</f>
        <v>0</v>
      </c>
      <c r="S47" s="3718"/>
      <c r="T47" s="3718">
        <f>G47</f>
        <v>0</v>
      </c>
      <c r="U47" s="3718"/>
      <c r="V47" s="3718">
        <f>I47</f>
        <v>0</v>
      </c>
      <c r="W47" s="3718"/>
      <c r="X47" s="686"/>
      <c r="Y47" s="708"/>
      <c r="Z47" s="686"/>
      <c r="AA47" s="686"/>
      <c r="AB47" s="686"/>
      <c r="AC47" s="686"/>
    </row>
    <row r="48" spans="1:29" ht="15.75" thickBot="1">
      <c r="A48" s="434" t="s">
        <v>1793</v>
      </c>
      <c r="B48" s="435"/>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05" t="str">
        <f>A48</f>
        <v>比较价值（元/平方米）</v>
      </c>
      <c r="Q48" s="3705"/>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20"/>
      <c r="M49" s="2721"/>
      <c r="N49" s="2712"/>
      <c r="O49" s="2721"/>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1798</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1679</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1716</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1681</v>
      </c>
      <c r="B61" s="456"/>
      <c r="C61" s="468" t="s">
        <v>1776</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1719</v>
      </c>
      <c r="B63" s="474" t="s">
        <v>1685</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1688</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1690</v>
      </c>
      <c r="B76" s="474" t="s">
        <v>1720</v>
      </c>
      <c r="C76" s="519" t="s">
        <v>1721</v>
      </c>
      <c r="D76" s="519" t="s">
        <v>1722</v>
      </c>
      <c r="E76" s="519" t="s">
        <v>1723</v>
      </c>
      <c r="F76" s="519" t="s">
        <v>1724</v>
      </c>
      <c r="G76" s="519" t="s">
        <v>1725</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1726</v>
      </c>
      <c r="C78" s="524" t="s">
        <v>1721</v>
      </c>
      <c r="D78" s="524" t="s">
        <v>1722</v>
      </c>
      <c r="E78" s="524" t="s">
        <v>1723</v>
      </c>
      <c r="F78" s="524" t="s">
        <v>1724</v>
      </c>
      <c r="G78" s="524" t="s">
        <v>1725</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1727</v>
      </c>
      <c r="C80" s="524" t="s">
        <v>1721</v>
      </c>
      <c r="D80" s="524" t="s">
        <v>1722</v>
      </c>
      <c r="E80" s="524" t="s">
        <v>1723</v>
      </c>
      <c r="F80" s="524" t="s">
        <v>1724</v>
      </c>
      <c r="G80" s="524" t="s">
        <v>1725</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1779</v>
      </c>
      <c r="C82" s="605" t="s">
        <v>1799</v>
      </c>
      <c r="D82" s="605" t="s">
        <v>1800</v>
      </c>
      <c r="E82" s="605" t="s">
        <v>1801</v>
      </c>
      <c r="F82" s="605" t="s">
        <v>1802</v>
      </c>
      <c r="G82" s="605" t="s">
        <v>1803</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1733</v>
      </c>
      <c r="C84" s="524" t="s">
        <v>1721</v>
      </c>
      <c r="D84" s="524" t="s">
        <v>1722</v>
      </c>
      <c r="E84" s="524" t="s">
        <v>1723</v>
      </c>
      <c r="F84" s="524" t="s">
        <v>1724</v>
      </c>
      <c r="G84" s="524" t="s">
        <v>1725</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1804</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1694</v>
      </c>
      <c r="B100" s="474" t="s">
        <v>1805</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1738</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1740</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1742</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1806</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1807</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1808</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1809</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1744</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309.42</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1769</v>
      </c>
      <c r="B4" s="353"/>
      <c r="C4" s="3706" t="s">
        <v>1770</v>
      </c>
      <c r="D4" s="3707"/>
      <c r="E4" s="3708" t="s">
        <v>1771</v>
      </c>
      <c r="F4" s="3709"/>
      <c r="G4" s="3706" t="s">
        <v>1772</v>
      </c>
      <c r="H4" s="3707"/>
      <c r="I4" s="3706" t="s">
        <v>1773</v>
      </c>
      <c r="J4" s="3707"/>
      <c r="K4" s="556" t="s">
        <v>1774</v>
      </c>
      <c r="L4" s="2711"/>
      <c r="M4" s="2712"/>
      <c r="N4" s="2712"/>
      <c r="O4" s="2712"/>
      <c r="P4" s="3766" t="s">
        <v>1775</v>
      </c>
      <c r="Q4" s="3767"/>
      <c r="R4" s="3761" t="s">
        <v>1771</v>
      </c>
      <c r="S4" s="3762"/>
      <c r="T4" s="3761" t="s">
        <v>1772</v>
      </c>
      <c r="U4" s="3762"/>
      <c r="V4" s="3770" t="s">
        <v>1773</v>
      </c>
      <c r="W4" s="3770"/>
      <c r="X4" s="1954"/>
      <c r="Y4" s="3761" t="s">
        <v>1775</v>
      </c>
      <c r="Z4" s="3762"/>
      <c r="AA4" s="3760" t="s">
        <v>1771</v>
      </c>
      <c r="AB4" s="3760" t="s">
        <v>1772</v>
      </c>
      <c r="AC4" s="3763" t="s">
        <v>1773</v>
      </c>
    </row>
    <row r="5" spans="1:29" ht="15">
      <c r="A5" s="355"/>
      <c r="B5" s="356"/>
      <c r="C5" s="3752" t="s">
        <v>1673</v>
      </c>
      <c r="D5" s="3753"/>
      <c r="E5" s="3750" t="s">
        <v>1674</v>
      </c>
      <c r="F5" s="3751"/>
      <c r="G5" s="3752" t="s">
        <v>1675</v>
      </c>
      <c r="H5" s="3753"/>
      <c r="I5" s="3752" t="s">
        <v>1676</v>
      </c>
      <c r="J5" s="3753"/>
      <c r="K5" s="556"/>
      <c r="L5" s="2711"/>
      <c r="M5" s="2712"/>
      <c r="N5" s="2712"/>
      <c r="O5" s="2712"/>
      <c r="P5" s="3768"/>
      <c r="Q5" s="3713"/>
      <c r="R5" s="3697"/>
      <c r="S5" s="3698"/>
      <c r="T5" s="3697"/>
      <c r="U5" s="3698"/>
      <c r="V5" s="3718"/>
      <c r="W5" s="3718"/>
      <c r="X5" s="1351"/>
      <c r="Y5" s="3697"/>
      <c r="Z5" s="3698"/>
      <c r="AA5" s="3691"/>
      <c r="AB5" s="3691"/>
      <c r="AC5" s="3764"/>
    </row>
    <row r="6" spans="1:29" ht="15.75" thickBot="1">
      <c r="A6" s="357"/>
      <c r="B6" s="358"/>
      <c r="C6" s="3701" t="s">
        <v>1677</v>
      </c>
      <c r="D6" s="3702"/>
      <c r="E6" s="3703" t="s">
        <v>1677</v>
      </c>
      <c r="F6" s="3704"/>
      <c r="G6" s="3701" t="s">
        <v>1677</v>
      </c>
      <c r="H6" s="3702"/>
      <c r="I6" s="3701" t="s">
        <v>1677</v>
      </c>
      <c r="J6" s="3702"/>
      <c r="K6" s="556" t="s">
        <v>1678</v>
      </c>
      <c r="L6" s="2711"/>
      <c r="M6" s="2712"/>
      <c r="N6" s="2712"/>
      <c r="O6" s="2712"/>
      <c r="P6" s="3769"/>
      <c r="Q6" s="3715"/>
      <c r="R6" s="3697"/>
      <c r="S6" s="3698"/>
      <c r="T6" s="3716"/>
      <c r="U6" s="3717"/>
      <c r="V6" s="3718"/>
      <c r="W6" s="3718"/>
      <c r="X6" s="1351"/>
      <c r="Y6" s="3716"/>
      <c r="Z6" s="3717"/>
      <c r="AA6" s="3692"/>
      <c r="AB6" s="3692"/>
      <c r="AC6" s="3765"/>
    </row>
    <row r="7" spans="1:29" s="108" customFormat="1" ht="15.75" thickBot="1">
      <c r="A7" s="359" t="s">
        <v>1679</v>
      </c>
      <c r="B7" s="360"/>
      <c r="C7" s="361">
        <f>'数据-取费表'!B2</f>
        <v>45888</v>
      </c>
      <c r="D7" s="362">
        <v>100</v>
      </c>
      <c r="E7" s="363"/>
      <c r="F7" s="364">
        <f>SUMIF(59:59,YEAR(E7)&amp;"-"&amp;MONTH(E7),60:60)</f>
        <v>0</v>
      </c>
      <c r="G7" s="363"/>
      <c r="H7" s="362">
        <f>SUMIF(59:59,YEAR(G7)&amp;"-"&amp;MONTH(G7),60:60)</f>
        <v>0</v>
      </c>
      <c r="I7" s="363"/>
      <c r="J7" s="362">
        <f>SUMIF(59:59,YEAR(I7)&amp;"-"&amp;MONTH(I7),60:60)</f>
        <v>0</v>
      </c>
      <c r="K7" s="557"/>
      <c r="L7" s="2713"/>
      <c r="M7" s="2714"/>
      <c r="N7" s="2714"/>
      <c r="O7" s="2714"/>
      <c r="P7" s="3771" t="s">
        <v>1680</v>
      </c>
      <c r="Q7" s="3719"/>
      <c r="R7" s="697" t="s">
        <v>14</v>
      </c>
      <c r="S7" s="698">
        <f t="shared" ref="S7:S15" si="0">F7</f>
        <v>0</v>
      </c>
      <c r="T7" s="697" t="s">
        <v>14</v>
      </c>
      <c r="U7" s="698">
        <f t="shared" ref="U7:U15" si="1">H7</f>
        <v>0</v>
      </c>
      <c r="V7" s="697" t="s">
        <v>14</v>
      </c>
      <c r="W7" s="698">
        <f t="shared" ref="W7:W15" si="2">J7</f>
        <v>0</v>
      </c>
      <c r="X7" s="699"/>
      <c r="Y7" s="3693" t="s">
        <v>1680</v>
      </c>
      <c r="Z7" s="3694"/>
      <c r="AA7" s="700" t="e">
        <f>D7/F7</f>
        <v>#DIV/0!</v>
      </c>
      <c r="AB7" s="700" t="e">
        <f>D7/H7</f>
        <v>#DIV/0!</v>
      </c>
      <c r="AC7" s="1955"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771" t="s">
        <v>1683</v>
      </c>
      <c r="Q8" s="3694"/>
      <c r="R8" s="697" t="s">
        <v>14</v>
      </c>
      <c r="S8" s="698">
        <f t="shared" si="0"/>
        <v>100</v>
      </c>
      <c r="T8" s="697" t="s">
        <v>14</v>
      </c>
      <c r="U8" s="698">
        <f t="shared" si="1"/>
        <v>100</v>
      </c>
      <c r="V8" s="697" t="s">
        <v>14</v>
      </c>
      <c r="W8" s="698">
        <f t="shared" si="2"/>
        <v>100</v>
      </c>
      <c r="X8" s="699"/>
      <c r="Y8" s="3693" t="s">
        <v>1683</v>
      </c>
      <c r="Z8" s="3694"/>
      <c r="AA8" s="700">
        <f t="shared" ref="AA8:AA47" si="3">D8/F8</f>
        <v>1</v>
      </c>
      <c r="AB8" s="700">
        <f t="shared" ref="AB8:AB47" si="4">D8/H8</f>
        <v>1</v>
      </c>
      <c r="AC8" s="1955">
        <f t="shared" ref="AC8:AC47" si="5">D8/J8</f>
        <v>1</v>
      </c>
    </row>
    <row r="9" spans="1:29" s="108" customFormat="1">
      <c r="A9" s="366" t="s">
        <v>1684</v>
      </c>
      <c r="B9" s="63" t="s">
        <v>1685</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754"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1955">
        <f t="shared" si="5"/>
        <v>1</v>
      </c>
    </row>
    <row r="10" spans="1:29" s="375" customFormat="1" ht="27">
      <c r="A10" s="371"/>
      <c r="B10" s="372" t="s">
        <v>1688</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754"/>
      <c r="Q10" s="1339" t="str">
        <f t="shared" si="6"/>
        <v>土地使用年限（年）</v>
      </c>
      <c r="R10" s="697" t="s">
        <v>14</v>
      </c>
      <c r="S10" s="698">
        <f t="shared" si="0"/>
        <v>100</v>
      </c>
      <c r="T10" s="697" t="s">
        <v>14</v>
      </c>
      <c r="U10" s="698">
        <f t="shared" si="1"/>
        <v>100</v>
      </c>
      <c r="V10" s="697" t="s">
        <v>14</v>
      </c>
      <c r="W10" s="698">
        <f t="shared" si="2"/>
        <v>100</v>
      </c>
      <c r="X10" s="699"/>
      <c r="Y10" s="3658"/>
      <c r="Z10" s="52" t="str">
        <f t="shared" si="7"/>
        <v>土地使用年限（年）</v>
      </c>
      <c r="AA10" s="700">
        <f t="shared" si="3"/>
        <v>1</v>
      </c>
      <c r="AB10" s="700">
        <f t="shared" si="4"/>
        <v>1</v>
      </c>
      <c r="AC10" s="1955">
        <f t="shared" si="5"/>
        <v>1</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754"/>
      <c r="Q11" s="1339" t="str">
        <f t="shared" si="6"/>
        <v>容积率</v>
      </c>
      <c r="R11" s="697" t="s">
        <v>14</v>
      </c>
      <c r="S11" s="698">
        <f t="shared" si="0"/>
        <v>100</v>
      </c>
      <c r="T11" s="697" t="s">
        <v>14</v>
      </c>
      <c r="U11" s="698">
        <f t="shared" si="1"/>
        <v>100</v>
      </c>
      <c r="V11" s="697" t="s">
        <v>14</v>
      </c>
      <c r="W11" s="698">
        <f t="shared" si="2"/>
        <v>100</v>
      </c>
      <c r="X11" s="699"/>
      <c r="Y11" s="3658"/>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754"/>
      <c r="Q12" s="1339">
        <f t="shared" si="6"/>
        <v>111</v>
      </c>
      <c r="R12" s="697" t="s">
        <v>14</v>
      </c>
      <c r="S12" s="698">
        <f t="shared" si="0"/>
        <v>100</v>
      </c>
      <c r="T12" s="697" t="s">
        <v>14</v>
      </c>
      <c r="U12" s="698">
        <f t="shared" si="1"/>
        <v>100</v>
      </c>
      <c r="V12" s="697" t="s">
        <v>14</v>
      </c>
      <c r="W12" s="698">
        <f t="shared" si="2"/>
        <v>100</v>
      </c>
      <c r="X12" s="699"/>
      <c r="Y12" s="3658"/>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754"/>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754"/>
      <c r="Q14" s="1339">
        <f t="shared" si="6"/>
        <v>111</v>
      </c>
      <c r="R14" s="697" t="s">
        <v>14</v>
      </c>
      <c r="S14" s="698">
        <f t="shared" si="0"/>
        <v>100</v>
      </c>
      <c r="T14" s="697" t="s">
        <v>14</v>
      </c>
      <c r="U14" s="698">
        <f t="shared" si="1"/>
        <v>100</v>
      </c>
      <c r="V14" s="697" t="s">
        <v>14</v>
      </c>
      <c r="W14" s="698">
        <f t="shared" si="2"/>
        <v>100</v>
      </c>
      <c r="X14" s="699"/>
      <c r="Y14" s="3658"/>
      <c r="Z14" s="52">
        <f t="shared" si="7"/>
        <v>111</v>
      </c>
      <c r="AA14" s="700">
        <f t="shared" si="3"/>
        <v>1</v>
      </c>
      <c r="AB14" s="700">
        <f t="shared" si="4"/>
        <v>1</v>
      </c>
      <c r="AC14" s="1955">
        <f t="shared" si="5"/>
        <v>1</v>
      </c>
    </row>
    <row r="15" spans="1:29" ht="71.25">
      <c r="A15" s="388" t="s">
        <v>1690</v>
      </c>
      <c r="B15" s="574" t="s">
        <v>1811</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58" t="s">
        <v>1691</v>
      </c>
      <c r="Q15" s="1348" t="str">
        <f t="shared" si="6"/>
        <v>办公集聚程度</v>
      </c>
      <c r="R15" s="701" t="s">
        <v>14</v>
      </c>
      <c r="S15" s="702">
        <f t="shared" si="0"/>
        <v>100</v>
      </c>
      <c r="T15" s="701" t="s">
        <v>14</v>
      </c>
      <c r="U15" s="702">
        <f t="shared" si="1"/>
        <v>100</v>
      </c>
      <c r="V15" s="701" t="s">
        <v>14</v>
      </c>
      <c r="W15" s="702">
        <f t="shared" si="2"/>
        <v>100</v>
      </c>
      <c r="X15" s="1351"/>
      <c r="Y15" s="3720" t="s">
        <v>1691</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59"/>
      <c r="Q16" s="1348"/>
      <c r="R16" s="701"/>
      <c r="S16" s="702"/>
      <c r="T16" s="701"/>
      <c r="U16" s="702"/>
      <c r="V16" s="701"/>
      <c r="W16" s="702"/>
      <c r="X16" s="1351"/>
      <c r="Y16" s="3721"/>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59"/>
      <c r="Q17" s="1348" t="str">
        <f>B17</f>
        <v>交通便捷度</v>
      </c>
      <c r="R17" s="701" t="s">
        <v>14</v>
      </c>
      <c r="S17" s="702">
        <f>F17</f>
        <v>100</v>
      </c>
      <c r="T17" s="701" t="s">
        <v>14</v>
      </c>
      <c r="U17" s="702">
        <f>H17</f>
        <v>100</v>
      </c>
      <c r="V17" s="701" t="s">
        <v>14</v>
      </c>
      <c r="W17" s="702">
        <f>J17</f>
        <v>100</v>
      </c>
      <c r="X17" s="1351"/>
      <c r="Y17" s="3721"/>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59"/>
      <c r="Q18" s="1348"/>
      <c r="R18" s="701"/>
      <c r="S18" s="702"/>
      <c r="T18" s="701"/>
      <c r="U18" s="702"/>
      <c r="V18" s="701"/>
      <c r="W18" s="702"/>
      <c r="X18" s="1351"/>
      <c r="Y18" s="3721"/>
      <c r="Z18" s="1352"/>
      <c r="AA18" s="1349">
        <v>1</v>
      </c>
      <c r="AB18" s="1349">
        <v>1</v>
      </c>
      <c r="AC18" s="1958">
        <v>1</v>
      </c>
    </row>
    <row r="19" spans="1:29" ht="42.75">
      <c r="A19" s="376"/>
      <c r="B19" s="576" t="s">
        <v>1812</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59"/>
      <c r="Q19" s="1348" t="str">
        <f>B19</f>
        <v>公共配套设施</v>
      </c>
      <c r="R19" s="701" t="s">
        <v>14</v>
      </c>
      <c r="S19" s="702">
        <f>F19</f>
        <v>100</v>
      </c>
      <c r="T19" s="701" t="s">
        <v>14</v>
      </c>
      <c r="U19" s="702">
        <f>H19</f>
        <v>100</v>
      </c>
      <c r="V19" s="701" t="s">
        <v>14</v>
      </c>
      <c r="W19" s="702">
        <f>J19</f>
        <v>100</v>
      </c>
      <c r="X19" s="1351"/>
      <c r="Y19" s="3721"/>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59"/>
      <c r="Q20" s="1348"/>
      <c r="R20" s="701"/>
      <c r="S20" s="702"/>
      <c r="T20" s="701"/>
      <c r="U20" s="702"/>
      <c r="V20" s="701"/>
      <c r="W20" s="702"/>
      <c r="X20" s="1351"/>
      <c r="Y20" s="3721"/>
      <c r="Z20" s="1352"/>
      <c r="AA20" s="1349">
        <v>1</v>
      </c>
      <c r="AB20" s="1349">
        <v>1</v>
      </c>
      <c r="AC20" s="1958">
        <v>1</v>
      </c>
    </row>
    <row r="21" spans="1:29" ht="28.5">
      <c r="A21" s="376"/>
      <c r="B21" s="578" t="s">
        <v>1813</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59"/>
      <c r="Q21" s="1348" t="str">
        <f>B21</f>
        <v>基础设施水平</v>
      </c>
      <c r="R21" s="701" t="s">
        <v>14</v>
      </c>
      <c r="S21" s="702">
        <f>F21</f>
        <v>100</v>
      </c>
      <c r="T21" s="701" t="s">
        <v>14</v>
      </c>
      <c r="U21" s="702">
        <f>H21</f>
        <v>100</v>
      </c>
      <c r="V21" s="701" t="s">
        <v>14</v>
      </c>
      <c r="W21" s="702">
        <f>J21</f>
        <v>100</v>
      </c>
      <c r="X21" s="1351"/>
      <c r="Y21" s="3721"/>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59"/>
      <c r="Q22" s="1348"/>
      <c r="R22" s="701"/>
      <c r="S22" s="702"/>
      <c r="T22" s="701"/>
      <c r="U22" s="702"/>
      <c r="V22" s="701"/>
      <c r="W22" s="702"/>
      <c r="X22" s="1351"/>
      <c r="Y22" s="3721"/>
      <c r="Z22" s="1352"/>
      <c r="AA22" s="1349">
        <v>1</v>
      </c>
      <c r="AB22" s="1349">
        <v>1</v>
      </c>
      <c r="AC22" s="1958">
        <v>1</v>
      </c>
    </row>
    <row r="23" spans="1:29" ht="42.75">
      <c r="A23" s="376"/>
      <c r="B23" s="576" t="s">
        <v>1814</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59"/>
      <c r="Q23" s="1348" t="str">
        <f>B23</f>
        <v>环境质量</v>
      </c>
      <c r="R23" s="701" t="s">
        <v>14</v>
      </c>
      <c r="S23" s="702">
        <f>F23</f>
        <v>100</v>
      </c>
      <c r="T23" s="701" t="s">
        <v>14</v>
      </c>
      <c r="U23" s="702">
        <f>H23</f>
        <v>100</v>
      </c>
      <c r="V23" s="701" t="s">
        <v>14</v>
      </c>
      <c r="W23" s="702">
        <f>J23</f>
        <v>100</v>
      </c>
      <c r="X23" s="1351"/>
      <c r="Y23" s="3721"/>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59"/>
      <c r="Q24" s="1348"/>
      <c r="R24" s="701"/>
      <c r="S24" s="702"/>
      <c r="T24" s="701"/>
      <c r="U24" s="702"/>
      <c r="V24" s="701"/>
      <c r="W24" s="702"/>
      <c r="X24" s="1351"/>
      <c r="Y24" s="3721"/>
      <c r="Z24" s="1352"/>
      <c r="AA24" s="1349">
        <v>1</v>
      </c>
      <c r="AB24" s="1349">
        <v>1</v>
      </c>
      <c r="AC24" s="1958">
        <v>1</v>
      </c>
    </row>
    <row r="25" spans="1:29" ht="27">
      <c r="A25" s="355"/>
      <c r="B25" s="576" t="s">
        <v>1815</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59"/>
      <c r="Q25" s="1348" t="str">
        <f>B25</f>
        <v>毗邻道路的类型与等级</v>
      </c>
      <c r="R25" s="701" t="s">
        <v>14</v>
      </c>
      <c r="S25" s="702">
        <f>F25</f>
        <v>100</v>
      </c>
      <c r="T25" s="701" t="s">
        <v>14</v>
      </c>
      <c r="U25" s="702">
        <f>H25</f>
        <v>100</v>
      </c>
      <c r="V25" s="701" t="s">
        <v>14</v>
      </c>
      <c r="W25" s="702">
        <f>J25</f>
        <v>100</v>
      </c>
      <c r="X25" s="1351"/>
      <c r="Y25" s="3721"/>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59"/>
      <c r="Q26" s="1348"/>
      <c r="R26" s="701"/>
      <c r="S26" s="702"/>
      <c r="T26" s="701"/>
      <c r="U26" s="702"/>
      <c r="V26" s="701"/>
      <c r="W26" s="702"/>
      <c r="X26" s="1351"/>
      <c r="Y26" s="3721"/>
      <c r="Z26" s="1352"/>
      <c r="AA26" s="1349">
        <v>1</v>
      </c>
      <c r="AB26" s="1349">
        <v>1</v>
      </c>
      <c r="AC26" s="1958">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59"/>
      <c r="Q27" s="1348" t="str">
        <f t="shared" ref="Q27:Q47" si="11">B27</f>
        <v>楼层</v>
      </c>
      <c r="R27" s="701" t="s">
        <v>14</v>
      </c>
      <c r="S27" s="702">
        <f>F27</f>
        <v>100</v>
      </c>
      <c r="T27" s="701" t="s">
        <v>14</v>
      </c>
      <c r="U27" s="702">
        <f>H27</f>
        <v>100</v>
      </c>
      <c r="V27" s="701" t="s">
        <v>14</v>
      </c>
      <c r="W27" s="702">
        <f>J27</f>
        <v>100</v>
      </c>
      <c r="X27" s="1351"/>
      <c r="Y27" s="3721"/>
      <c r="Z27" s="1352" t="str">
        <f>Q27</f>
        <v>楼层</v>
      </c>
      <c r="AA27" s="1349">
        <f t="shared" si="3"/>
        <v>1</v>
      </c>
      <c r="AB27" s="1349">
        <f t="shared" si="4"/>
        <v>1</v>
      </c>
      <c r="AC27" s="1958">
        <f t="shared" si="5"/>
        <v>1</v>
      </c>
    </row>
    <row r="28" spans="1:29" s="108" customFormat="1" ht="15">
      <c r="A28" s="379"/>
      <c r="B28" s="576" t="s">
        <v>1816</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59"/>
      <c r="Q28" s="1339" t="str">
        <f t="shared" si="11"/>
        <v>朝向</v>
      </c>
      <c r="R28" s="697" t="s">
        <v>14</v>
      </c>
      <c r="S28" s="698">
        <f>F28</f>
        <v>100</v>
      </c>
      <c r="T28" s="697" t="s">
        <v>14</v>
      </c>
      <c r="U28" s="698">
        <f>H28</f>
        <v>100</v>
      </c>
      <c r="V28" s="697" t="s">
        <v>14</v>
      </c>
      <c r="W28" s="698">
        <f>J28</f>
        <v>100</v>
      </c>
      <c r="X28" s="699"/>
      <c r="Y28" s="3721"/>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59"/>
      <c r="Q29" s="1348">
        <f t="shared" si="11"/>
        <v>111</v>
      </c>
      <c r="R29" s="701" t="s">
        <v>14</v>
      </c>
      <c r="S29" s="702">
        <f t="shared" ref="S29:S47" si="12">F29</f>
        <v>100</v>
      </c>
      <c r="T29" s="701" t="s">
        <v>14</v>
      </c>
      <c r="U29" s="702">
        <f t="shared" ref="U29:U47" si="13">H29</f>
        <v>100</v>
      </c>
      <c r="V29" s="701" t="s">
        <v>14</v>
      </c>
      <c r="W29" s="702">
        <f t="shared" ref="W29:W47" si="14">J29</f>
        <v>100</v>
      </c>
      <c r="X29" s="1351"/>
      <c r="Y29" s="3721"/>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59"/>
      <c r="Q30" s="1348">
        <f t="shared" si="11"/>
        <v>111</v>
      </c>
      <c r="R30" s="701" t="s">
        <v>14</v>
      </c>
      <c r="S30" s="702">
        <f t="shared" si="12"/>
        <v>100</v>
      </c>
      <c r="T30" s="701" t="s">
        <v>14</v>
      </c>
      <c r="U30" s="702">
        <f t="shared" si="13"/>
        <v>100</v>
      </c>
      <c r="V30" s="701" t="s">
        <v>14</v>
      </c>
      <c r="W30" s="702">
        <f t="shared" si="14"/>
        <v>100</v>
      </c>
      <c r="X30" s="1351"/>
      <c r="Y30" s="3721"/>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59"/>
      <c r="Q31" s="1348">
        <f t="shared" si="11"/>
        <v>111</v>
      </c>
      <c r="R31" s="701" t="s">
        <v>14</v>
      </c>
      <c r="S31" s="702">
        <f t="shared" si="12"/>
        <v>100</v>
      </c>
      <c r="T31" s="701" t="s">
        <v>14</v>
      </c>
      <c r="U31" s="702">
        <f t="shared" si="13"/>
        <v>100</v>
      </c>
      <c r="V31" s="701" t="s">
        <v>14</v>
      </c>
      <c r="W31" s="702">
        <f t="shared" si="14"/>
        <v>100</v>
      </c>
      <c r="X31" s="1351"/>
      <c r="Y31" s="3721"/>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59"/>
      <c r="Q32" s="1348">
        <f t="shared" si="11"/>
        <v>111</v>
      </c>
      <c r="R32" s="701" t="s">
        <v>14</v>
      </c>
      <c r="S32" s="702">
        <f t="shared" si="12"/>
        <v>100</v>
      </c>
      <c r="T32" s="701" t="s">
        <v>14</v>
      </c>
      <c r="U32" s="702">
        <f t="shared" si="13"/>
        <v>100</v>
      </c>
      <c r="V32" s="701" t="s">
        <v>14</v>
      </c>
      <c r="W32" s="702">
        <f t="shared" si="14"/>
        <v>100</v>
      </c>
      <c r="X32" s="1351"/>
      <c r="Y32" s="3721"/>
      <c r="Z32" s="1352">
        <f t="shared" si="15"/>
        <v>111</v>
      </c>
      <c r="AA32" s="1349">
        <f t="shared" si="3"/>
        <v>1</v>
      </c>
      <c r="AB32" s="1349">
        <f t="shared" si="4"/>
        <v>1</v>
      </c>
      <c r="AC32" s="1958">
        <f t="shared" si="5"/>
        <v>1</v>
      </c>
    </row>
    <row r="33" spans="1:29" ht="15">
      <c r="A33" s="388" t="s">
        <v>1694</v>
      </c>
      <c r="B33" s="63" t="s">
        <v>1817</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55" t="s">
        <v>1696</v>
      </c>
      <c r="Q33" s="1348" t="str">
        <f t="shared" si="11"/>
        <v>建筑类型</v>
      </c>
      <c r="R33" s="701" t="s">
        <v>14</v>
      </c>
      <c r="S33" s="702">
        <f t="shared" si="12"/>
        <v>100</v>
      </c>
      <c r="T33" s="701" t="s">
        <v>14</v>
      </c>
      <c r="U33" s="702">
        <f t="shared" si="13"/>
        <v>100</v>
      </c>
      <c r="V33" s="701" t="s">
        <v>14</v>
      </c>
      <c r="W33" s="702">
        <f t="shared" si="14"/>
        <v>100</v>
      </c>
      <c r="X33" s="1351"/>
      <c r="Y33" s="3723" t="s">
        <v>1696</v>
      </c>
      <c r="Z33" s="1352" t="str">
        <f t="shared" si="15"/>
        <v>建筑类型</v>
      </c>
      <c r="AA33" s="1349">
        <f t="shared" si="3"/>
        <v>1</v>
      </c>
      <c r="AB33" s="1349">
        <f t="shared" si="4"/>
        <v>1</v>
      </c>
      <c r="AC33" s="1958">
        <f t="shared" si="5"/>
        <v>1</v>
      </c>
    </row>
    <row r="34" spans="1:29" s="419" customFormat="1" ht="15">
      <c r="A34" s="416"/>
      <c r="B34" s="372" t="s">
        <v>1697</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56"/>
      <c r="Q34" s="703" t="str">
        <f t="shared" si="11"/>
        <v>项目建筑规模</v>
      </c>
      <c r="R34" s="704" t="s">
        <v>14</v>
      </c>
      <c r="S34" s="705" t="e">
        <f t="shared" si="12"/>
        <v>#N/A</v>
      </c>
      <c r="T34" s="704" t="s">
        <v>14</v>
      </c>
      <c r="U34" s="705" t="e">
        <f t="shared" si="13"/>
        <v>#N/A</v>
      </c>
      <c r="V34" s="704" t="s">
        <v>14</v>
      </c>
      <c r="W34" s="705" t="e">
        <f t="shared" si="14"/>
        <v>#N/A</v>
      </c>
      <c r="X34" s="706"/>
      <c r="Y34" s="3723"/>
      <c r="Z34" s="707" t="str">
        <f t="shared" si="15"/>
        <v>项目建筑规模</v>
      </c>
      <c r="AA34" s="1349" t="e">
        <f t="shared" si="3"/>
        <v>#N/A</v>
      </c>
      <c r="AB34" s="1349" t="e">
        <f t="shared" si="4"/>
        <v>#N/A</v>
      </c>
      <c r="AC34" s="1958"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56"/>
      <c r="Q35" s="1348" t="str">
        <f t="shared" si="11"/>
        <v>建筑结构</v>
      </c>
      <c r="R35" s="701" t="s">
        <v>14</v>
      </c>
      <c r="S35" s="702">
        <f t="shared" si="12"/>
        <v>100</v>
      </c>
      <c r="T35" s="701" t="s">
        <v>14</v>
      </c>
      <c r="U35" s="702">
        <f t="shared" si="13"/>
        <v>100</v>
      </c>
      <c r="V35" s="701" t="s">
        <v>14</v>
      </c>
      <c r="W35" s="702">
        <f t="shared" si="14"/>
        <v>100</v>
      </c>
      <c r="X35" s="1351"/>
      <c r="Y35" s="3723"/>
      <c r="Z35" s="1352" t="str">
        <f t="shared" si="15"/>
        <v>建筑结构</v>
      </c>
      <c r="AA35" s="1349">
        <f t="shared" si="3"/>
        <v>1</v>
      </c>
      <c r="AB35" s="1349">
        <f t="shared" si="4"/>
        <v>1</v>
      </c>
      <c r="AC35" s="1958">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56"/>
      <c r="Q36" s="1348" t="str">
        <f t="shared" si="11"/>
        <v>公共部分装修</v>
      </c>
      <c r="R36" s="701" t="s">
        <v>14</v>
      </c>
      <c r="S36" s="702">
        <f t="shared" si="12"/>
        <v>100</v>
      </c>
      <c r="T36" s="701" t="s">
        <v>14</v>
      </c>
      <c r="U36" s="702">
        <f t="shared" si="13"/>
        <v>100</v>
      </c>
      <c r="V36" s="701" t="s">
        <v>14</v>
      </c>
      <c r="W36" s="702">
        <f t="shared" si="14"/>
        <v>100</v>
      </c>
      <c r="X36" s="1351"/>
      <c r="Y36" s="3723"/>
      <c r="Z36" s="1352" t="str">
        <f t="shared" si="15"/>
        <v>公共部分装修</v>
      </c>
      <c r="AA36" s="1349">
        <f t="shared" si="3"/>
        <v>1</v>
      </c>
      <c r="AB36" s="1349">
        <f t="shared" si="4"/>
        <v>1</v>
      </c>
      <c r="AC36" s="1958">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56"/>
      <c r="Q37" s="1348" t="str">
        <f t="shared" si="11"/>
        <v>成新度</v>
      </c>
      <c r="R37" s="701" t="s">
        <v>14</v>
      </c>
      <c r="S37" s="702" t="e">
        <f t="shared" si="12"/>
        <v>#N/A</v>
      </c>
      <c r="T37" s="701" t="s">
        <v>14</v>
      </c>
      <c r="U37" s="702" t="e">
        <f t="shared" si="13"/>
        <v>#N/A</v>
      </c>
      <c r="V37" s="701" t="s">
        <v>14</v>
      </c>
      <c r="W37" s="702" t="e">
        <f t="shared" si="14"/>
        <v>#N/A</v>
      </c>
      <c r="X37" s="1351"/>
      <c r="Y37" s="3723"/>
      <c r="Z37" s="1352" t="str">
        <f t="shared" si="15"/>
        <v>成新度</v>
      </c>
      <c r="AA37" s="1349" t="e">
        <f t="shared" si="3"/>
        <v>#N/A</v>
      </c>
      <c r="AB37" s="1349" t="e">
        <f t="shared" si="4"/>
        <v>#N/A</v>
      </c>
      <c r="AC37" s="1958" t="e">
        <f t="shared" si="5"/>
        <v>#N/A</v>
      </c>
    </row>
    <row r="38" spans="1:29" s="108"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56"/>
      <c r="Q38" s="1339" t="str">
        <f t="shared" si="11"/>
        <v>写字楼等级</v>
      </c>
      <c r="R38" s="697" t="s">
        <v>14</v>
      </c>
      <c r="S38" s="698">
        <f t="shared" si="12"/>
        <v>100</v>
      </c>
      <c r="T38" s="697" t="s">
        <v>14</v>
      </c>
      <c r="U38" s="698">
        <f t="shared" si="13"/>
        <v>100</v>
      </c>
      <c r="V38" s="697" t="s">
        <v>14</v>
      </c>
      <c r="W38" s="698">
        <f t="shared" si="14"/>
        <v>100</v>
      </c>
      <c r="X38" s="699"/>
      <c r="Y38" s="3723"/>
      <c r="Z38" s="52" t="str">
        <f t="shared" si="15"/>
        <v>写字楼等级</v>
      </c>
      <c r="AA38" s="700">
        <f t="shared" si="3"/>
        <v>1</v>
      </c>
      <c r="AB38" s="700">
        <f t="shared" si="4"/>
        <v>1</v>
      </c>
      <c r="AC38" s="1955">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56" t="s">
        <v>1696</v>
      </c>
      <c r="Q39" s="1348" t="str">
        <f t="shared" si="11"/>
        <v>物业管理</v>
      </c>
      <c r="R39" s="701" t="s">
        <v>14</v>
      </c>
      <c r="S39" s="702">
        <f t="shared" si="12"/>
        <v>100</v>
      </c>
      <c r="T39" s="701" t="s">
        <v>14</v>
      </c>
      <c r="U39" s="702">
        <f t="shared" si="13"/>
        <v>100</v>
      </c>
      <c r="V39" s="701" t="s">
        <v>14</v>
      </c>
      <c r="W39" s="702">
        <f t="shared" si="14"/>
        <v>100</v>
      </c>
      <c r="X39" s="1351"/>
      <c r="Y39" s="3723" t="s">
        <v>1696</v>
      </c>
      <c r="Z39" s="1352" t="str">
        <f t="shared" si="15"/>
        <v>物业管理</v>
      </c>
      <c r="AA39" s="1349">
        <f t="shared" si="3"/>
        <v>1</v>
      </c>
      <c r="AB39" s="1349">
        <f t="shared" si="4"/>
        <v>1</v>
      </c>
      <c r="AC39" s="1958">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56"/>
      <c r="Q40" s="1348" t="str">
        <f t="shared" si="11"/>
        <v>市政基础设施</v>
      </c>
      <c r="R40" s="701" t="s">
        <v>14</v>
      </c>
      <c r="S40" s="702">
        <f t="shared" si="12"/>
        <v>100</v>
      </c>
      <c r="T40" s="701" t="s">
        <v>14</v>
      </c>
      <c r="U40" s="702">
        <f t="shared" si="13"/>
        <v>100</v>
      </c>
      <c r="V40" s="701" t="s">
        <v>14</v>
      </c>
      <c r="W40" s="702">
        <f t="shared" si="14"/>
        <v>100</v>
      </c>
      <c r="X40" s="1351"/>
      <c r="Y40" s="3723"/>
      <c r="Z40" s="1352" t="str">
        <f t="shared" si="15"/>
        <v>市政基础设施</v>
      </c>
      <c r="AA40" s="1349">
        <f t="shared" si="3"/>
        <v>1</v>
      </c>
      <c r="AB40" s="1349">
        <f t="shared" si="4"/>
        <v>1</v>
      </c>
      <c r="AC40" s="1958">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56"/>
      <c r="Q41" s="1348" t="str">
        <f t="shared" si="11"/>
        <v>层高</v>
      </c>
      <c r="R41" s="701" t="s">
        <v>14</v>
      </c>
      <c r="S41" s="702">
        <f t="shared" si="12"/>
        <v>100</v>
      </c>
      <c r="T41" s="701" t="s">
        <v>14</v>
      </c>
      <c r="U41" s="702">
        <f t="shared" si="13"/>
        <v>100</v>
      </c>
      <c r="V41" s="701" t="s">
        <v>14</v>
      </c>
      <c r="W41" s="702">
        <f t="shared" si="14"/>
        <v>100</v>
      </c>
      <c r="X41" s="1351"/>
      <c r="Y41" s="3723"/>
      <c r="Z41" s="1352" t="str">
        <f t="shared" si="15"/>
        <v>层高</v>
      </c>
      <c r="AA41" s="1349">
        <f t="shared" si="3"/>
        <v>1</v>
      </c>
      <c r="AB41" s="1349">
        <f t="shared" si="4"/>
        <v>1</v>
      </c>
      <c r="AC41" s="1958">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56"/>
      <c r="Q42" s="703" t="str">
        <f t="shared" si="11"/>
        <v>单套建筑面积</v>
      </c>
      <c r="R42" s="704" t="s">
        <v>14</v>
      </c>
      <c r="S42" s="705">
        <f t="shared" si="12"/>
        <v>100</v>
      </c>
      <c r="T42" s="704" t="s">
        <v>14</v>
      </c>
      <c r="U42" s="705">
        <f t="shared" si="13"/>
        <v>100</v>
      </c>
      <c r="V42" s="704" t="s">
        <v>14</v>
      </c>
      <c r="W42" s="705">
        <f t="shared" si="14"/>
        <v>100</v>
      </c>
      <c r="X42" s="706"/>
      <c r="Y42" s="3723"/>
      <c r="Z42" s="707" t="str">
        <f t="shared" si="15"/>
        <v>单套建筑面积</v>
      </c>
      <c r="AA42" s="1349">
        <f t="shared" si="3"/>
        <v>1</v>
      </c>
      <c r="AB42" s="1349">
        <f t="shared" si="4"/>
        <v>1</v>
      </c>
      <c r="AC42" s="1958">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56"/>
      <c r="Q43" s="1348" t="str">
        <f t="shared" si="11"/>
        <v>内部装修</v>
      </c>
      <c r="R43" s="701" t="s">
        <v>14</v>
      </c>
      <c r="S43" s="702">
        <f t="shared" si="12"/>
        <v>100</v>
      </c>
      <c r="T43" s="701" t="s">
        <v>14</v>
      </c>
      <c r="U43" s="702">
        <f t="shared" si="13"/>
        <v>100</v>
      </c>
      <c r="V43" s="701" t="s">
        <v>14</v>
      </c>
      <c r="W43" s="702">
        <f t="shared" si="14"/>
        <v>100</v>
      </c>
      <c r="X43" s="1351"/>
      <c r="Y43" s="3723"/>
      <c r="Z43" s="1352" t="str">
        <f t="shared" si="15"/>
        <v>内部装修</v>
      </c>
      <c r="AA43" s="1349">
        <f t="shared" si="3"/>
        <v>1</v>
      </c>
      <c r="AB43" s="1349">
        <f t="shared" si="4"/>
        <v>1</v>
      </c>
      <c r="AC43" s="1958">
        <f t="shared" si="5"/>
        <v>1</v>
      </c>
    </row>
    <row r="44" spans="1:29" ht="15">
      <c r="A44" s="420"/>
      <c r="B44" s="372" t="s">
        <v>1707</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56"/>
      <c r="Q44" s="1348" t="str">
        <f t="shared" si="11"/>
        <v>内部装修维护情况</v>
      </c>
      <c r="R44" s="701" t="s">
        <v>14</v>
      </c>
      <c r="S44" s="702">
        <f t="shared" si="12"/>
        <v>100</v>
      </c>
      <c r="T44" s="701" t="s">
        <v>14</v>
      </c>
      <c r="U44" s="702">
        <f t="shared" si="13"/>
        <v>100</v>
      </c>
      <c r="V44" s="701" t="s">
        <v>14</v>
      </c>
      <c r="W44" s="702">
        <f t="shared" si="14"/>
        <v>100</v>
      </c>
      <c r="X44" s="1351"/>
      <c r="Y44" s="3723"/>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56"/>
      <c r="Q45" s="1339">
        <f t="shared" si="11"/>
        <v>111</v>
      </c>
      <c r="R45" s="697" t="s">
        <v>14</v>
      </c>
      <c r="S45" s="698">
        <f t="shared" si="12"/>
        <v>100</v>
      </c>
      <c r="T45" s="697" t="s">
        <v>14</v>
      </c>
      <c r="U45" s="698">
        <f t="shared" si="13"/>
        <v>100</v>
      </c>
      <c r="V45" s="697" t="s">
        <v>14</v>
      </c>
      <c r="W45" s="698">
        <f t="shared" si="14"/>
        <v>100</v>
      </c>
      <c r="X45" s="699"/>
      <c r="Y45" s="3723"/>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56"/>
      <c r="Q46" s="1348">
        <f t="shared" si="11"/>
        <v>111</v>
      </c>
      <c r="R46" s="701" t="s">
        <v>14</v>
      </c>
      <c r="S46" s="702">
        <f t="shared" si="12"/>
        <v>100</v>
      </c>
      <c r="T46" s="701" t="s">
        <v>14</v>
      </c>
      <c r="U46" s="702">
        <f t="shared" si="13"/>
        <v>100</v>
      </c>
      <c r="V46" s="701" t="s">
        <v>14</v>
      </c>
      <c r="W46" s="702">
        <f t="shared" si="14"/>
        <v>100</v>
      </c>
      <c r="X46" s="1351"/>
      <c r="Y46" s="3723"/>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57"/>
      <c r="Q47" s="1348">
        <f t="shared" si="11"/>
        <v>111</v>
      </c>
      <c r="R47" s="701" t="s">
        <v>14</v>
      </c>
      <c r="S47" s="702">
        <f t="shared" si="12"/>
        <v>100</v>
      </c>
      <c r="T47" s="701" t="s">
        <v>14</v>
      </c>
      <c r="U47" s="702">
        <f t="shared" si="13"/>
        <v>100</v>
      </c>
      <c r="V47" s="701" t="s">
        <v>14</v>
      </c>
      <c r="W47" s="702">
        <f t="shared" si="14"/>
        <v>100</v>
      </c>
      <c r="X47" s="1351"/>
      <c r="Y47" s="3724"/>
      <c r="Z47" s="1352">
        <f t="shared" si="15"/>
        <v>111</v>
      </c>
      <c r="AA47" s="1349">
        <f t="shared" si="3"/>
        <v>1</v>
      </c>
      <c r="AB47" s="1349">
        <f t="shared" si="4"/>
        <v>1</v>
      </c>
      <c r="AC47" s="1958">
        <f t="shared" si="5"/>
        <v>1</v>
      </c>
    </row>
    <row r="48" spans="1:29" ht="15">
      <c r="A48" s="427" t="s">
        <v>1708</v>
      </c>
      <c r="B48" s="428"/>
      <c r="C48" s="1150" t="s">
        <v>0</v>
      </c>
      <c r="D48" s="1151"/>
      <c r="E48" s="1152"/>
      <c r="F48" s="1153"/>
      <c r="G48" s="1154"/>
      <c r="H48" s="1155"/>
      <c r="I48" s="1152"/>
      <c r="J48" s="433"/>
      <c r="K48" s="710"/>
      <c r="L48" s="2720"/>
      <c r="M48" s="2712"/>
      <c r="N48" s="2712"/>
      <c r="O48" s="2712"/>
      <c r="P48" s="3754" t="str">
        <f>A48</f>
        <v>成交单价（元/平方米）</v>
      </c>
      <c r="Q48" s="3705"/>
      <c r="R48" s="3725">
        <f>E48</f>
        <v>0</v>
      </c>
      <c r="S48" s="3725"/>
      <c r="T48" s="3725">
        <f>G48</f>
        <v>0</v>
      </c>
      <c r="U48" s="3725"/>
      <c r="V48" s="3725">
        <f>I48</f>
        <v>0</v>
      </c>
      <c r="W48" s="3725"/>
      <c r="X48" s="394"/>
      <c r="Y48" s="708"/>
      <c r="Z48" s="394"/>
      <c r="AA48" s="394"/>
      <c r="AB48" s="394"/>
      <c r="AC48" s="575"/>
    </row>
    <row r="49" spans="1:29" ht="15.75" thickBot="1">
      <c r="A49" s="434" t="s">
        <v>1793</v>
      </c>
      <c r="B49" s="435"/>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54" t="str">
        <f>A49</f>
        <v>比较价值（元/平方米）</v>
      </c>
      <c r="Q49" s="3705"/>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20"/>
      <c r="M50" s="2712"/>
      <c r="N50" s="2712"/>
      <c r="O50" s="2712"/>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1798</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1679</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1716</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1681</v>
      </c>
      <c r="B62" s="456"/>
      <c r="C62" s="468" t="s">
        <v>1776</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1719</v>
      </c>
      <c r="B64" s="474" t="s">
        <v>1685</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1688</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1690</v>
      </c>
      <c r="B77" s="474" t="s">
        <v>1821</v>
      </c>
      <c r="C77" s="519" t="s">
        <v>1721</v>
      </c>
      <c r="D77" s="519" t="s">
        <v>1722</v>
      </c>
      <c r="E77" s="519" t="s">
        <v>1723</v>
      </c>
      <c r="F77" s="519" t="s">
        <v>1724</v>
      </c>
      <c r="G77" s="519" t="s">
        <v>1725</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1726</v>
      </c>
      <c r="C79" s="524" t="s">
        <v>1721</v>
      </c>
      <c r="D79" s="524" t="s">
        <v>1722</v>
      </c>
      <c r="E79" s="524" t="s">
        <v>1723</v>
      </c>
      <c r="F79" s="524" t="s">
        <v>1724</v>
      </c>
      <c r="G79" s="524" t="s">
        <v>1725</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1727</v>
      </c>
      <c r="C81" s="524" t="s">
        <v>1721</v>
      </c>
      <c r="D81" s="524" t="s">
        <v>1722</v>
      </c>
      <c r="E81" s="524" t="s">
        <v>1723</v>
      </c>
      <c r="F81" s="524" t="s">
        <v>1724</v>
      </c>
      <c r="G81" s="524" t="s">
        <v>1725</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1813</v>
      </c>
      <c r="C83" s="605" t="s">
        <v>1799</v>
      </c>
      <c r="D83" s="605" t="s">
        <v>1800</v>
      </c>
      <c r="E83" s="605" t="s">
        <v>1801</v>
      </c>
      <c r="F83" s="605" t="s">
        <v>1802</v>
      </c>
      <c r="G83" s="605" t="s">
        <v>1803</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1822</v>
      </c>
      <c r="C85" s="524" t="s">
        <v>1721</v>
      </c>
      <c r="D85" s="524" t="s">
        <v>1722</v>
      </c>
      <c r="E85" s="524" t="s">
        <v>1723</v>
      </c>
      <c r="F85" s="524" t="s">
        <v>1724</v>
      </c>
      <c r="G85" s="524" t="s">
        <v>1725</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1823</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1694</v>
      </c>
      <c r="B101" s="474" t="s">
        <v>1736</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1738</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1740</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1824</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1741</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1742</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1825</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1808</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1744</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受贵公司委托，我公司对北京市大兴区马朱路长子营段16号院17号楼3层301生产车间用房房地产抵押价值进行了预评估。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估价对象为北京市大兴区马朱路长子营段16号院17号楼3层301生产车间用房房地产，为所有。根据《国有土地使用证》[]，估价对象（分摊）出让国有建设用地使用权面积为0平方米，建筑面积为309.42平方米。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2025年8月19日（评估专业人员实地查勘之日）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3333</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1769</v>
      </c>
      <c r="B4" s="353"/>
      <c r="C4" s="3706" t="s">
        <v>1770</v>
      </c>
      <c r="D4" s="3707"/>
      <c r="E4" s="3708" t="s">
        <v>1771</v>
      </c>
      <c r="F4" s="3709"/>
      <c r="G4" s="3706" t="s">
        <v>1772</v>
      </c>
      <c r="H4" s="3707"/>
      <c r="I4" s="3706" t="s">
        <v>1773</v>
      </c>
      <c r="J4" s="3707"/>
      <c r="K4" s="556" t="s">
        <v>1774</v>
      </c>
      <c r="L4" s="2711"/>
      <c r="M4" s="2712"/>
      <c r="N4" s="2712"/>
      <c r="O4" s="2712"/>
      <c r="P4" s="3710" t="s">
        <v>1775</v>
      </c>
      <c r="Q4" s="3711"/>
      <c r="R4" s="3695" t="s">
        <v>1771</v>
      </c>
      <c r="S4" s="3696"/>
      <c r="T4" s="3695" t="s">
        <v>1772</v>
      </c>
      <c r="U4" s="3696"/>
      <c r="V4" s="3718" t="s">
        <v>1773</v>
      </c>
      <c r="W4" s="3718"/>
      <c r="X4" s="1351"/>
      <c r="Y4" s="3695" t="s">
        <v>1775</v>
      </c>
      <c r="Z4" s="3696"/>
      <c r="AA4" s="3690" t="s">
        <v>1771</v>
      </c>
      <c r="AB4" s="3691" t="s">
        <v>1772</v>
      </c>
      <c r="AC4" s="3690" t="s">
        <v>1773</v>
      </c>
    </row>
    <row r="5" spans="1:29" ht="15">
      <c r="A5" s="355"/>
      <c r="B5" s="356"/>
      <c r="C5" s="3752" t="s">
        <v>1673</v>
      </c>
      <c r="D5" s="3753"/>
      <c r="E5" s="3750" t="s">
        <v>1674</v>
      </c>
      <c r="F5" s="3751"/>
      <c r="G5" s="3752" t="s">
        <v>1675</v>
      </c>
      <c r="H5" s="3753"/>
      <c r="I5" s="3752" t="s">
        <v>1676</v>
      </c>
      <c r="J5" s="3753"/>
      <c r="K5" s="556"/>
      <c r="L5" s="2711"/>
      <c r="M5" s="2712"/>
      <c r="N5" s="2712"/>
      <c r="O5" s="2712"/>
      <c r="P5" s="3712"/>
      <c r="Q5" s="3713"/>
      <c r="R5" s="3697"/>
      <c r="S5" s="3698"/>
      <c r="T5" s="3697"/>
      <c r="U5" s="3698"/>
      <c r="V5" s="3718"/>
      <c r="W5" s="3718"/>
      <c r="X5" s="1351"/>
      <c r="Y5" s="3697"/>
      <c r="Z5" s="3698"/>
      <c r="AA5" s="3691"/>
      <c r="AB5" s="3691"/>
      <c r="AC5" s="3691"/>
    </row>
    <row r="6" spans="1:29" ht="15.75" thickBot="1">
      <c r="A6" s="357"/>
      <c r="B6" s="358"/>
      <c r="C6" s="3701" t="s">
        <v>1677</v>
      </c>
      <c r="D6" s="3702"/>
      <c r="E6" s="3703" t="s">
        <v>1677</v>
      </c>
      <c r="F6" s="3704"/>
      <c r="G6" s="3701" t="s">
        <v>1677</v>
      </c>
      <c r="H6" s="3702"/>
      <c r="I6" s="3701" t="s">
        <v>1677</v>
      </c>
      <c r="J6" s="3702"/>
      <c r="K6" s="556" t="s">
        <v>1678</v>
      </c>
      <c r="L6" s="2711"/>
      <c r="M6" s="2712"/>
      <c r="N6" s="2712"/>
      <c r="O6" s="2712"/>
      <c r="P6" s="3714"/>
      <c r="Q6" s="3715"/>
      <c r="R6" s="3697"/>
      <c r="S6" s="3698"/>
      <c r="T6" s="3716"/>
      <c r="U6" s="3717"/>
      <c r="V6" s="3718"/>
      <c r="W6" s="3718"/>
      <c r="X6" s="1351"/>
      <c r="Y6" s="3716"/>
      <c r="Z6" s="3717"/>
      <c r="AA6" s="3692"/>
      <c r="AB6" s="3692"/>
      <c r="AC6" s="3692"/>
    </row>
    <row r="7" spans="1:29" s="108" customFormat="1" ht="15.75" thickBot="1">
      <c r="A7" s="359" t="s">
        <v>1679</v>
      </c>
      <c r="B7" s="360"/>
      <c r="C7" s="361">
        <f>'数据-取费表'!B2</f>
        <v>45888</v>
      </c>
      <c r="D7" s="362">
        <v>100</v>
      </c>
      <c r="E7" s="363"/>
      <c r="F7" s="364">
        <f>SUMIF(48:48,YEAR(E7)&amp;"-"&amp;MONTH(E7),49:49)</f>
        <v>0</v>
      </c>
      <c r="G7" s="363"/>
      <c r="H7" s="362">
        <f>SUMIF(48:48,YEAR(G7)&amp;"-"&amp;MONTH(G7),49:49)</f>
        <v>0</v>
      </c>
      <c r="I7" s="363"/>
      <c r="J7" s="362">
        <f>SUMIF(48:48,YEAR(I7)&amp;"-"&amp;MONTH(I7),49:49)</f>
        <v>0</v>
      </c>
      <c r="K7" s="557"/>
      <c r="L7" s="2713"/>
      <c r="M7" s="2714"/>
      <c r="N7" s="2714"/>
      <c r="O7" s="2714"/>
      <c r="P7" s="3693" t="s">
        <v>1680</v>
      </c>
      <c r="Q7" s="3719"/>
      <c r="R7" s="697" t="s">
        <v>14</v>
      </c>
      <c r="S7" s="698">
        <f t="shared" ref="S7:S14" si="0">F7</f>
        <v>0</v>
      </c>
      <c r="T7" s="697" t="s">
        <v>14</v>
      </c>
      <c r="U7" s="698">
        <f t="shared" ref="U7:U14" si="1">H7</f>
        <v>0</v>
      </c>
      <c r="V7" s="697" t="s">
        <v>14</v>
      </c>
      <c r="W7" s="698">
        <f t="shared" ref="W7:W14" si="2">J7</f>
        <v>0</v>
      </c>
      <c r="X7" s="699"/>
      <c r="Y7" s="3693" t="s">
        <v>1680</v>
      </c>
      <c r="Z7" s="369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693" t="s">
        <v>1683</v>
      </c>
      <c r="Q8" s="3694"/>
      <c r="R8" s="697" t="s">
        <v>14</v>
      </c>
      <c r="S8" s="698">
        <f t="shared" si="0"/>
        <v>100</v>
      </c>
      <c r="T8" s="697" t="s">
        <v>14</v>
      </c>
      <c r="U8" s="698">
        <f t="shared" si="1"/>
        <v>100</v>
      </c>
      <c r="V8" s="697" t="s">
        <v>14</v>
      </c>
      <c r="W8" s="698">
        <f t="shared" si="2"/>
        <v>100</v>
      </c>
      <c r="X8" s="699"/>
      <c r="Y8" s="3693" t="s">
        <v>1683</v>
      </c>
      <c r="Z8" s="3694"/>
      <c r="AA8" s="700">
        <f t="shared" ref="AA8:AA36" si="3">D8/F8</f>
        <v>1</v>
      </c>
      <c r="AB8" s="700">
        <f t="shared" ref="AB8:AB36" si="4">D8/H8</f>
        <v>1</v>
      </c>
      <c r="AC8" s="700">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705" t="s">
        <v>1686</v>
      </c>
      <c r="Q9" s="1339" t="str">
        <f t="shared" ref="Q9:Q14" si="6">B9</f>
        <v>用途</v>
      </c>
      <c r="R9" s="697" t="s">
        <v>14</v>
      </c>
      <c r="S9" s="698">
        <f t="shared" si="0"/>
        <v>100</v>
      </c>
      <c r="T9" s="697" t="s">
        <v>14</v>
      </c>
      <c r="U9" s="698">
        <f t="shared" si="1"/>
        <v>100</v>
      </c>
      <c r="V9" s="697" t="s">
        <v>14</v>
      </c>
      <c r="W9" s="698">
        <f t="shared" si="2"/>
        <v>100</v>
      </c>
      <c r="X9" s="699"/>
      <c r="Y9" s="3658" t="s">
        <v>1687</v>
      </c>
      <c r="Z9" s="52" t="str">
        <f t="shared" ref="Z9:Z14" si="7">Q9</f>
        <v>用途</v>
      </c>
      <c r="AA9" s="700">
        <f t="shared" si="3"/>
        <v>1</v>
      </c>
      <c r="AB9" s="700">
        <f t="shared" si="4"/>
        <v>1</v>
      </c>
      <c r="AC9" s="700">
        <f t="shared" si="5"/>
        <v>1</v>
      </c>
    </row>
    <row r="10" spans="1:29" s="375" customFormat="1" ht="27">
      <c r="A10" s="586"/>
      <c r="B10" s="587" t="s">
        <v>1688</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705"/>
      <c r="Q10" s="1339" t="str">
        <f t="shared" si="6"/>
        <v>土地使用年限（年）</v>
      </c>
      <c r="R10" s="697" t="s">
        <v>14</v>
      </c>
      <c r="S10" s="698">
        <f t="shared" si="0"/>
        <v>100</v>
      </c>
      <c r="T10" s="697" t="s">
        <v>14</v>
      </c>
      <c r="U10" s="698">
        <f t="shared" si="1"/>
        <v>100</v>
      </c>
      <c r="V10" s="697" t="s">
        <v>14</v>
      </c>
      <c r="W10" s="698">
        <f t="shared" si="2"/>
        <v>100</v>
      </c>
      <c r="X10" s="699"/>
      <c r="Y10" s="3658"/>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705"/>
      <c r="Q11" s="1339">
        <f t="shared" si="6"/>
        <v>111</v>
      </c>
      <c r="R11" s="697" t="s">
        <v>14</v>
      </c>
      <c r="S11" s="698">
        <f t="shared" si="0"/>
        <v>100</v>
      </c>
      <c r="T11" s="697" t="s">
        <v>14</v>
      </c>
      <c r="U11" s="698">
        <f t="shared" si="1"/>
        <v>100</v>
      </c>
      <c r="V11" s="697" t="s">
        <v>14</v>
      </c>
      <c r="W11" s="698">
        <f t="shared" si="2"/>
        <v>100</v>
      </c>
      <c r="X11" s="699"/>
      <c r="Y11" s="3658"/>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705"/>
      <c r="Q12" s="1339">
        <f t="shared" si="6"/>
        <v>111</v>
      </c>
      <c r="R12" s="697" t="s">
        <v>14</v>
      </c>
      <c r="S12" s="698">
        <f t="shared" si="0"/>
        <v>100</v>
      </c>
      <c r="T12" s="697" t="s">
        <v>14</v>
      </c>
      <c r="U12" s="698">
        <f t="shared" si="1"/>
        <v>100</v>
      </c>
      <c r="V12" s="697" t="s">
        <v>14</v>
      </c>
      <c r="W12" s="698">
        <f t="shared" si="2"/>
        <v>100</v>
      </c>
      <c r="X12" s="699"/>
      <c r="Y12" s="3658"/>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705"/>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700">
        <f t="shared" si="5"/>
        <v>1</v>
      </c>
    </row>
    <row r="14" spans="1:29" ht="85.5">
      <c r="A14" s="352" t="s">
        <v>1690</v>
      </c>
      <c r="B14" s="574" t="s">
        <v>1833</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720" t="s">
        <v>1691</v>
      </c>
      <c r="Q14" s="1348" t="str">
        <f t="shared" si="6"/>
        <v>交通便捷度</v>
      </c>
      <c r="R14" s="701" t="s">
        <v>14</v>
      </c>
      <c r="S14" s="702">
        <f t="shared" si="0"/>
        <v>100</v>
      </c>
      <c r="T14" s="701" t="s">
        <v>14</v>
      </c>
      <c r="U14" s="702">
        <f t="shared" si="1"/>
        <v>100</v>
      </c>
      <c r="V14" s="701" t="s">
        <v>14</v>
      </c>
      <c r="W14" s="702">
        <f t="shared" si="2"/>
        <v>100</v>
      </c>
      <c r="X14" s="1351"/>
      <c r="Y14" s="3720"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721"/>
      <c r="Q15" s="1348"/>
      <c r="R15" s="701"/>
      <c r="S15" s="702"/>
      <c r="T15" s="701"/>
      <c r="U15" s="702"/>
      <c r="V15" s="701"/>
      <c r="W15" s="702"/>
      <c r="X15" s="1351"/>
      <c r="Y15" s="3721"/>
      <c r="Z15" s="1352"/>
      <c r="AA15" s="1349">
        <v>1</v>
      </c>
      <c r="AB15" s="1349">
        <v>1</v>
      </c>
      <c r="AC15" s="1349">
        <v>1</v>
      </c>
    </row>
    <row r="16" spans="1:29" ht="42.75">
      <c r="A16" s="355"/>
      <c r="B16" s="576" t="s">
        <v>1812</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721"/>
      <c r="Q16" s="1348" t="str">
        <f>B16</f>
        <v>公共配套设施</v>
      </c>
      <c r="R16" s="701" t="s">
        <v>14</v>
      </c>
      <c r="S16" s="702">
        <f>F16</f>
        <v>100</v>
      </c>
      <c r="T16" s="701" t="s">
        <v>14</v>
      </c>
      <c r="U16" s="702">
        <f>H16</f>
        <v>100</v>
      </c>
      <c r="V16" s="701" t="s">
        <v>14</v>
      </c>
      <c r="W16" s="702">
        <f>J16</f>
        <v>100</v>
      </c>
      <c r="X16" s="1351"/>
      <c r="Y16" s="3721"/>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721"/>
      <c r="Q17" s="1348"/>
      <c r="R17" s="701"/>
      <c r="S17" s="702"/>
      <c r="T17" s="701"/>
      <c r="U17" s="702"/>
      <c r="V17" s="701"/>
      <c r="W17" s="702"/>
      <c r="X17" s="1351"/>
      <c r="Y17" s="3721"/>
      <c r="Z17" s="1352"/>
      <c r="AA17" s="1349">
        <v>1</v>
      </c>
      <c r="AB17" s="1349">
        <v>1</v>
      </c>
      <c r="AC17" s="1349">
        <v>1</v>
      </c>
    </row>
    <row r="18" spans="1:29" ht="28.5">
      <c r="A18" s="355"/>
      <c r="B18" s="578" t="s">
        <v>1813</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721"/>
      <c r="Q18" s="1348" t="str">
        <f>B18</f>
        <v>基础设施水平</v>
      </c>
      <c r="R18" s="701" t="s">
        <v>14</v>
      </c>
      <c r="S18" s="702">
        <f>F18</f>
        <v>100</v>
      </c>
      <c r="T18" s="701" t="s">
        <v>14</v>
      </c>
      <c r="U18" s="702">
        <f>H18</f>
        <v>100</v>
      </c>
      <c r="V18" s="701" t="s">
        <v>14</v>
      </c>
      <c r="W18" s="702">
        <f>J18</f>
        <v>100</v>
      </c>
      <c r="X18" s="1351"/>
      <c r="Y18" s="3721"/>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721"/>
      <c r="Q19" s="1348"/>
      <c r="R19" s="701"/>
      <c r="S19" s="702"/>
      <c r="T19" s="701"/>
      <c r="U19" s="702"/>
      <c r="V19" s="701"/>
      <c r="W19" s="702"/>
      <c r="X19" s="1351"/>
      <c r="Y19" s="3721"/>
      <c r="Z19" s="1352"/>
      <c r="AA19" s="1349">
        <v>1</v>
      </c>
      <c r="AB19" s="1349">
        <v>1</v>
      </c>
      <c r="AC19" s="1349">
        <v>1</v>
      </c>
    </row>
    <row r="20" spans="1:29" ht="57">
      <c r="A20" s="355"/>
      <c r="B20" s="576" t="s">
        <v>1834</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721"/>
      <c r="Q20" s="1348" t="str">
        <f>B20</f>
        <v>自然及人文环境</v>
      </c>
      <c r="R20" s="701" t="s">
        <v>14</v>
      </c>
      <c r="S20" s="702">
        <f>F20</f>
        <v>100</v>
      </c>
      <c r="T20" s="701" t="s">
        <v>14</v>
      </c>
      <c r="U20" s="702">
        <f>H20</f>
        <v>100</v>
      </c>
      <c r="V20" s="701" t="s">
        <v>14</v>
      </c>
      <c r="W20" s="702">
        <f>J20</f>
        <v>100</v>
      </c>
      <c r="X20" s="1351"/>
      <c r="Y20" s="3721"/>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721"/>
      <c r="Q21" s="1348"/>
      <c r="R21" s="701"/>
      <c r="S21" s="702"/>
      <c r="T21" s="701"/>
      <c r="U21" s="702"/>
      <c r="V21" s="701"/>
      <c r="W21" s="702"/>
      <c r="X21" s="1351"/>
      <c r="Y21" s="3721"/>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721"/>
      <c r="Q22" s="1348" t="str">
        <f>B22</f>
        <v>楼层</v>
      </c>
      <c r="R22" s="701" t="s">
        <v>14</v>
      </c>
      <c r="S22" s="702">
        <f>F22</f>
        <v>100</v>
      </c>
      <c r="T22" s="701" t="s">
        <v>14</v>
      </c>
      <c r="U22" s="702">
        <f>H22</f>
        <v>100</v>
      </c>
      <c r="V22" s="701" t="s">
        <v>14</v>
      </c>
      <c r="W22" s="702">
        <f>J22</f>
        <v>100</v>
      </c>
      <c r="X22" s="1351"/>
      <c r="Y22" s="3721"/>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721"/>
      <c r="Q23" s="1348">
        <f>B23</f>
        <v>111</v>
      </c>
      <c r="R23" s="701" t="s">
        <v>14</v>
      </c>
      <c r="S23" s="702">
        <f>F23</f>
        <v>100</v>
      </c>
      <c r="T23" s="701" t="s">
        <v>14</v>
      </c>
      <c r="U23" s="702">
        <f>H23</f>
        <v>100</v>
      </c>
      <c r="V23" s="701" t="s">
        <v>14</v>
      </c>
      <c r="W23" s="702">
        <f>J23</f>
        <v>100</v>
      </c>
      <c r="X23" s="1351"/>
      <c r="Y23" s="3721"/>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721"/>
      <c r="Q24" s="1348">
        <f t="shared" ref="Q24:Q36" si="11">B24</f>
        <v>111</v>
      </c>
      <c r="R24" s="701" t="s">
        <v>14</v>
      </c>
      <c r="S24" s="702">
        <f>F24</f>
        <v>100</v>
      </c>
      <c r="T24" s="701" t="s">
        <v>14</v>
      </c>
      <c r="U24" s="702">
        <f>H24</f>
        <v>100</v>
      </c>
      <c r="V24" s="701" t="s">
        <v>14</v>
      </c>
      <c r="W24" s="702">
        <f>J24</f>
        <v>100</v>
      </c>
      <c r="X24" s="1351"/>
      <c r="Y24" s="3721"/>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721"/>
      <c r="Q25" s="1339">
        <f t="shared" si="11"/>
        <v>111</v>
      </c>
      <c r="R25" s="697" t="s">
        <v>14</v>
      </c>
      <c r="S25" s="698">
        <f>F25</f>
        <v>100</v>
      </c>
      <c r="T25" s="697" t="s">
        <v>14</v>
      </c>
      <c r="U25" s="698">
        <f>H25</f>
        <v>100</v>
      </c>
      <c r="V25" s="697" t="s">
        <v>14</v>
      </c>
      <c r="W25" s="698">
        <f>J25</f>
        <v>100</v>
      </c>
      <c r="X25" s="699"/>
      <c r="Y25" s="3721"/>
      <c r="Z25" s="52">
        <f>Q25</f>
        <v>111</v>
      </c>
      <c r="AA25" s="1349">
        <f>D25/F25</f>
        <v>1</v>
      </c>
      <c r="AB25" s="1349">
        <f>D25/H25</f>
        <v>1</v>
      </c>
      <c r="AC25" s="1349">
        <f>D25/J25</f>
        <v>1</v>
      </c>
    </row>
    <row r="26" spans="1:29" ht="28.5">
      <c r="A26" s="597" t="s">
        <v>1694</v>
      </c>
      <c r="B26" s="62" t="s">
        <v>1836</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722"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3"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723"/>
      <c r="Q27" s="703" t="str">
        <f t="shared" si="11"/>
        <v>项目停车位配比</v>
      </c>
      <c r="R27" s="704" t="s">
        <v>14</v>
      </c>
      <c r="S27" s="705">
        <f t="shared" si="12"/>
        <v>100</v>
      </c>
      <c r="T27" s="704" t="s">
        <v>14</v>
      </c>
      <c r="U27" s="705">
        <f t="shared" si="13"/>
        <v>100</v>
      </c>
      <c r="V27" s="704" t="s">
        <v>14</v>
      </c>
      <c r="W27" s="705">
        <f t="shared" si="14"/>
        <v>100</v>
      </c>
      <c r="X27" s="706"/>
      <c r="Y27" s="3723"/>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723"/>
      <c r="Q28" s="1348" t="str">
        <f t="shared" si="11"/>
        <v>公共部分装修</v>
      </c>
      <c r="R28" s="701" t="s">
        <v>14</v>
      </c>
      <c r="S28" s="702">
        <f t="shared" si="12"/>
        <v>100</v>
      </c>
      <c r="T28" s="701" t="s">
        <v>14</v>
      </c>
      <c r="U28" s="702">
        <f t="shared" si="13"/>
        <v>100</v>
      </c>
      <c r="V28" s="701" t="s">
        <v>14</v>
      </c>
      <c r="W28" s="702">
        <f t="shared" si="14"/>
        <v>100</v>
      </c>
      <c r="X28" s="1351"/>
      <c r="Y28" s="3723"/>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723"/>
      <c r="Q29" s="1348" t="str">
        <f t="shared" si="11"/>
        <v>成新率</v>
      </c>
      <c r="R29" s="701" t="s">
        <v>14</v>
      </c>
      <c r="S29" s="702" t="e">
        <f t="shared" si="12"/>
        <v>#N/A</v>
      </c>
      <c r="T29" s="701" t="s">
        <v>14</v>
      </c>
      <c r="U29" s="702" t="e">
        <f t="shared" si="13"/>
        <v>#N/A</v>
      </c>
      <c r="V29" s="701" t="s">
        <v>14</v>
      </c>
      <c r="W29" s="702" t="e">
        <f t="shared" si="14"/>
        <v>#N/A</v>
      </c>
      <c r="X29" s="1351"/>
      <c r="Y29" s="3723"/>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723"/>
      <c r="Q30" s="1348" t="str">
        <f t="shared" si="11"/>
        <v>物业等级</v>
      </c>
      <c r="R30" s="701" t="s">
        <v>14</v>
      </c>
      <c r="S30" s="702">
        <f t="shared" si="12"/>
        <v>100</v>
      </c>
      <c r="T30" s="701" t="s">
        <v>14</v>
      </c>
      <c r="U30" s="702">
        <f t="shared" si="13"/>
        <v>100</v>
      </c>
      <c r="V30" s="701" t="s">
        <v>14</v>
      </c>
      <c r="W30" s="702">
        <f t="shared" si="14"/>
        <v>100</v>
      </c>
      <c r="X30" s="1351"/>
      <c r="Y30" s="3723"/>
      <c r="Z30" s="1352" t="str">
        <f t="shared" si="15"/>
        <v>物业等级</v>
      </c>
      <c r="AA30" s="1349">
        <f t="shared" si="3"/>
        <v>1</v>
      </c>
      <c r="AB30" s="1349">
        <f t="shared" si="4"/>
        <v>1</v>
      </c>
      <c r="AC30" s="1349">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723"/>
      <c r="Q31" s="1339" t="str">
        <f t="shared" si="11"/>
        <v>停车位面积</v>
      </c>
      <c r="R31" s="697" t="s">
        <v>14</v>
      </c>
      <c r="S31" s="698" t="e">
        <f t="shared" si="12"/>
        <v>#N/A</v>
      </c>
      <c r="T31" s="697" t="s">
        <v>14</v>
      </c>
      <c r="U31" s="698" t="e">
        <f t="shared" si="13"/>
        <v>#N/A</v>
      </c>
      <c r="V31" s="697" t="s">
        <v>14</v>
      </c>
      <c r="W31" s="698" t="e">
        <f t="shared" si="14"/>
        <v>#N/A</v>
      </c>
      <c r="X31" s="699"/>
      <c r="Y31" s="3723"/>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723" t="s">
        <v>1696</v>
      </c>
      <c r="Q32" s="1348" t="str">
        <f t="shared" si="11"/>
        <v>车位类型</v>
      </c>
      <c r="R32" s="701" t="s">
        <v>14</v>
      </c>
      <c r="S32" s="702">
        <f t="shared" si="12"/>
        <v>100</v>
      </c>
      <c r="T32" s="701" t="s">
        <v>14</v>
      </c>
      <c r="U32" s="702">
        <f t="shared" si="13"/>
        <v>100</v>
      </c>
      <c r="V32" s="701" t="s">
        <v>14</v>
      </c>
      <c r="W32" s="702">
        <f t="shared" si="14"/>
        <v>100</v>
      </c>
      <c r="X32" s="1351"/>
      <c r="Y32" s="3723"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723"/>
      <c r="Q33" s="1348" t="str">
        <f t="shared" si="11"/>
        <v>是否直接入户</v>
      </c>
      <c r="R33" s="701" t="s">
        <v>14</v>
      </c>
      <c r="S33" s="702">
        <f t="shared" si="12"/>
        <v>100</v>
      </c>
      <c r="T33" s="701" t="s">
        <v>14</v>
      </c>
      <c r="U33" s="702">
        <f t="shared" si="13"/>
        <v>100</v>
      </c>
      <c r="V33" s="701" t="s">
        <v>14</v>
      </c>
      <c r="W33" s="702">
        <f t="shared" si="14"/>
        <v>100</v>
      </c>
      <c r="X33" s="1351"/>
      <c r="Y33" s="3723"/>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723"/>
      <c r="Q34" s="1348">
        <f t="shared" si="11"/>
        <v>111</v>
      </c>
      <c r="R34" s="701" t="s">
        <v>14</v>
      </c>
      <c r="S34" s="702">
        <f t="shared" si="12"/>
        <v>100</v>
      </c>
      <c r="T34" s="701" t="s">
        <v>14</v>
      </c>
      <c r="U34" s="702">
        <f t="shared" si="13"/>
        <v>100</v>
      </c>
      <c r="V34" s="701" t="s">
        <v>14</v>
      </c>
      <c r="W34" s="702">
        <f t="shared" si="14"/>
        <v>100</v>
      </c>
      <c r="X34" s="1351"/>
      <c r="Y34" s="3723"/>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723"/>
      <c r="Q35" s="703">
        <f t="shared" si="11"/>
        <v>111</v>
      </c>
      <c r="R35" s="704" t="s">
        <v>14</v>
      </c>
      <c r="S35" s="705">
        <f t="shared" si="12"/>
        <v>100</v>
      </c>
      <c r="T35" s="704" t="s">
        <v>14</v>
      </c>
      <c r="U35" s="705">
        <f t="shared" si="13"/>
        <v>100</v>
      </c>
      <c r="V35" s="704" t="s">
        <v>14</v>
      </c>
      <c r="W35" s="705">
        <f t="shared" si="14"/>
        <v>100</v>
      </c>
      <c r="X35" s="706"/>
      <c r="Y35" s="3723"/>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723"/>
      <c r="Q36" s="1348">
        <f t="shared" si="11"/>
        <v>111</v>
      </c>
      <c r="R36" s="701" t="s">
        <v>14</v>
      </c>
      <c r="S36" s="702">
        <f t="shared" si="12"/>
        <v>100</v>
      </c>
      <c r="T36" s="701" t="s">
        <v>14</v>
      </c>
      <c r="U36" s="702">
        <f t="shared" si="13"/>
        <v>100</v>
      </c>
      <c r="V36" s="701" t="s">
        <v>14</v>
      </c>
      <c r="W36" s="702">
        <f t="shared" si="14"/>
        <v>100</v>
      </c>
      <c r="X36" s="1351"/>
      <c r="Y36" s="3723"/>
      <c r="Z36" s="1352">
        <f t="shared" si="15"/>
        <v>111</v>
      </c>
      <c r="AA36" s="1349">
        <f t="shared" si="3"/>
        <v>1</v>
      </c>
      <c r="AB36" s="1349">
        <f t="shared" si="4"/>
        <v>1</v>
      </c>
      <c r="AC36" s="1349">
        <f t="shared" si="5"/>
        <v>1</v>
      </c>
    </row>
    <row r="37" spans="1:29" ht="15">
      <c r="A37" s="427" t="s">
        <v>1844</v>
      </c>
      <c r="B37" s="1969" t="s">
        <v>3354</v>
      </c>
      <c r="C37" s="1150" t="s">
        <v>0</v>
      </c>
      <c r="D37" s="1151"/>
      <c r="E37" s="1152"/>
      <c r="F37" s="1153"/>
      <c r="G37" s="1154"/>
      <c r="H37" s="1155"/>
      <c r="I37" s="1152"/>
      <c r="J37" s="1155"/>
      <c r="K37" s="565"/>
      <c r="L37" s="2720"/>
      <c r="M37" s="2721"/>
      <c r="N37" s="2712"/>
      <c r="O37" s="2721"/>
      <c r="P37" s="3705" t="str">
        <f>A37</f>
        <v>成交单价</v>
      </c>
      <c r="Q37" s="3705"/>
      <c r="R37" s="3725">
        <f>E37</f>
        <v>0</v>
      </c>
      <c r="S37" s="3725"/>
      <c r="T37" s="3725">
        <f>G37</f>
        <v>0</v>
      </c>
      <c r="U37" s="3725"/>
      <c r="V37" s="3725">
        <f>I37</f>
        <v>0</v>
      </c>
      <c r="W37" s="3725"/>
      <c r="X37" s="686"/>
      <c r="Y37" s="708"/>
      <c r="Z37" s="686"/>
      <c r="AA37" s="686"/>
      <c r="AB37" s="686"/>
      <c r="AC37" s="686"/>
    </row>
    <row r="38" spans="1:29" ht="15.75" thickBot="1">
      <c r="A38" s="434" t="s">
        <v>1845</v>
      </c>
      <c r="B38" s="435"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05" t="str">
        <f>A38</f>
        <v>比较价值（元/平方米）</v>
      </c>
      <c r="Q38" s="3705"/>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20"/>
      <c r="M39" s="2721"/>
      <c r="N39" s="2721"/>
      <c r="O39" s="2721"/>
      <c r="P39" s="3726" t="str">
        <f>A39</f>
        <v>估价对象XX用房的比较价值（楼面单价，元/平方米）</v>
      </c>
      <c r="Q39" s="3727"/>
      <c r="R39" s="3775" t="e">
        <f>IF(F1="售价",ROUND(IF(D38="简单平均",AVERAGE(R38:W38),R38*F38+T38*H38+V38*J38),0),ROUND(IF(D38="简单平均",AVERAGE(R38:V38),R38*F38+T38*H38+V38*J38),1))</f>
        <v>#DIV/0!</v>
      </c>
      <c r="S39" s="3775"/>
      <c r="T39" s="3775"/>
      <c r="U39" s="3775"/>
      <c r="V39" s="3775"/>
      <c r="W39" s="3775"/>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1851</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1716</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1681</v>
      </c>
      <c r="B51" s="456"/>
      <c r="C51" s="468" t="s">
        <v>1776</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1719</v>
      </c>
      <c r="B53" s="474" t="s">
        <v>1685</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1688</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1727</v>
      </c>
      <c r="C65" s="524" t="s">
        <v>1721</v>
      </c>
      <c r="D65" s="524" t="s">
        <v>1722</v>
      </c>
      <c r="E65" s="524" t="s">
        <v>1723</v>
      </c>
      <c r="F65" s="524" t="s">
        <v>1724</v>
      </c>
      <c r="G65" s="524" t="s">
        <v>1725</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1813</v>
      </c>
      <c r="C67" s="605" t="s">
        <v>1799</v>
      </c>
      <c r="D67" s="605" t="s">
        <v>1800</v>
      </c>
      <c r="E67" s="605" t="s">
        <v>1801</v>
      </c>
      <c r="F67" s="605" t="s">
        <v>1802</v>
      </c>
      <c r="G67" s="605" t="s">
        <v>1803</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1733</v>
      </c>
      <c r="C69" s="524" t="s">
        <v>1721</v>
      </c>
      <c r="D69" s="524" t="s">
        <v>1722</v>
      </c>
      <c r="E69" s="524" t="s">
        <v>1723</v>
      </c>
      <c r="F69" s="524" t="s">
        <v>1724</v>
      </c>
      <c r="G69" s="524" t="s">
        <v>1725</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1852</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1694</v>
      </c>
      <c r="B79" s="474" t="s">
        <v>1853</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1854</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1740</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1856</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1858</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1859</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3334</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1769</v>
      </c>
      <c r="B4" s="353"/>
      <c r="C4" s="3706" t="s">
        <v>1770</v>
      </c>
      <c r="D4" s="3707"/>
      <c r="E4" s="3708" t="s">
        <v>1771</v>
      </c>
      <c r="F4" s="3709"/>
      <c r="G4" s="3706" t="s">
        <v>1772</v>
      </c>
      <c r="H4" s="3707"/>
      <c r="I4" s="3706" t="s">
        <v>1773</v>
      </c>
      <c r="J4" s="3707"/>
      <c r="K4" s="556" t="s">
        <v>1774</v>
      </c>
      <c r="L4" s="2711"/>
      <c r="M4" s="2712"/>
      <c r="N4" s="2712"/>
      <c r="O4" s="2712"/>
      <c r="P4" s="3710" t="s">
        <v>1775</v>
      </c>
      <c r="Q4" s="3711"/>
      <c r="R4" s="3695" t="s">
        <v>1771</v>
      </c>
      <c r="S4" s="3696"/>
      <c r="T4" s="3695" t="s">
        <v>1772</v>
      </c>
      <c r="U4" s="3696"/>
      <c r="V4" s="3718" t="s">
        <v>1773</v>
      </c>
      <c r="W4" s="3718"/>
      <c r="X4" s="1351"/>
      <c r="Y4" s="3695" t="s">
        <v>1775</v>
      </c>
      <c r="Z4" s="3696"/>
      <c r="AA4" s="3690" t="s">
        <v>1771</v>
      </c>
      <c r="AB4" s="3691" t="s">
        <v>1772</v>
      </c>
      <c r="AC4" s="3690" t="s">
        <v>1773</v>
      </c>
    </row>
    <row r="5" spans="1:29" ht="15">
      <c r="A5" s="355"/>
      <c r="B5" s="356"/>
      <c r="C5" s="3752" t="s">
        <v>1673</v>
      </c>
      <c r="D5" s="3753"/>
      <c r="E5" s="3750" t="s">
        <v>1674</v>
      </c>
      <c r="F5" s="3751"/>
      <c r="G5" s="3752" t="s">
        <v>1675</v>
      </c>
      <c r="H5" s="3753"/>
      <c r="I5" s="3752" t="s">
        <v>1676</v>
      </c>
      <c r="J5" s="3753"/>
      <c r="K5" s="556"/>
      <c r="L5" s="2711"/>
      <c r="M5" s="2712"/>
      <c r="N5" s="2712"/>
      <c r="O5" s="2712"/>
      <c r="P5" s="3712"/>
      <c r="Q5" s="3713"/>
      <c r="R5" s="3697"/>
      <c r="S5" s="3698"/>
      <c r="T5" s="3697"/>
      <c r="U5" s="3698"/>
      <c r="V5" s="3718"/>
      <c r="W5" s="3718"/>
      <c r="X5" s="1351"/>
      <c r="Y5" s="3697"/>
      <c r="Z5" s="3698"/>
      <c r="AA5" s="3691"/>
      <c r="AB5" s="3691"/>
      <c r="AC5" s="3691"/>
    </row>
    <row r="6" spans="1:29" ht="15.75" thickBot="1">
      <c r="A6" s="357"/>
      <c r="B6" s="358"/>
      <c r="C6" s="3701" t="s">
        <v>1677</v>
      </c>
      <c r="D6" s="3702"/>
      <c r="E6" s="3703" t="s">
        <v>1677</v>
      </c>
      <c r="F6" s="3704"/>
      <c r="G6" s="3701" t="s">
        <v>1677</v>
      </c>
      <c r="H6" s="3702"/>
      <c r="I6" s="3701" t="s">
        <v>1677</v>
      </c>
      <c r="J6" s="3702"/>
      <c r="K6" s="556" t="s">
        <v>1678</v>
      </c>
      <c r="L6" s="2711"/>
      <c r="M6" s="2712"/>
      <c r="N6" s="2712"/>
      <c r="O6" s="2712"/>
      <c r="P6" s="3714"/>
      <c r="Q6" s="3715"/>
      <c r="R6" s="3697"/>
      <c r="S6" s="3698"/>
      <c r="T6" s="3716"/>
      <c r="U6" s="3717"/>
      <c r="V6" s="3718"/>
      <c r="W6" s="3718"/>
      <c r="X6" s="1351"/>
      <c r="Y6" s="3716"/>
      <c r="Z6" s="3717"/>
      <c r="AA6" s="3692"/>
      <c r="AB6" s="3692"/>
      <c r="AC6" s="3692"/>
    </row>
    <row r="7" spans="1:29" s="108" customFormat="1" ht="15.75" thickBot="1">
      <c r="A7" s="359" t="s">
        <v>1679</v>
      </c>
      <c r="B7" s="360"/>
      <c r="C7" s="361">
        <f>'数据-取费表'!B2</f>
        <v>45888</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693" t="s">
        <v>1680</v>
      </c>
      <c r="Q7" s="3719"/>
      <c r="R7" s="697" t="s">
        <v>14</v>
      </c>
      <c r="S7" s="698">
        <f t="shared" ref="S7:S14" si="0">F7</f>
        <v>0</v>
      </c>
      <c r="T7" s="697" t="s">
        <v>14</v>
      </c>
      <c r="U7" s="698">
        <f t="shared" ref="U7:U14" si="1">H7</f>
        <v>0</v>
      </c>
      <c r="V7" s="697" t="s">
        <v>14</v>
      </c>
      <c r="W7" s="698">
        <f t="shared" ref="W7:W14" si="2">J7</f>
        <v>0</v>
      </c>
      <c r="X7" s="699"/>
      <c r="Y7" s="3693" t="s">
        <v>1680</v>
      </c>
      <c r="Z7" s="369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693" t="s">
        <v>1683</v>
      </c>
      <c r="Q8" s="3694"/>
      <c r="R8" s="697" t="s">
        <v>14</v>
      </c>
      <c r="S8" s="698">
        <f t="shared" si="0"/>
        <v>100</v>
      </c>
      <c r="T8" s="697" t="s">
        <v>14</v>
      </c>
      <c r="U8" s="698">
        <f t="shared" si="1"/>
        <v>100</v>
      </c>
      <c r="V8" s="697" t="s">
        <v>14</v>
      </c>
      <c r="W8" s="698">
        <f t="shared" si="2"/>
        <v>100</v>
      </c>
      <c r="X8" s="699"/>
      <c r="Y8" s="3693" t="s">
        <v>1683</v>
      </c>
      <c r="Z8" s="3694"/>
      <c r="AA8" s="700">
        <f t="shared" ref="AA8:AA34" si="3">D8/F8</f>
        <v>1</v>
      </c>
      <c r="AB8" s="700">
        <f t="shared" ref="AB8:AB34" si="4">D8/H8</f>
        <v>1</v>
      </c>
      <c r="AC8" s="700">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705" t="s">
        <v>1686</v>
      </c>
      <c r="Q9" s="1339" t="str">
        <f t="shared" ref="Q9:Q14" si="6">B9</f>
        <v>用途</v>
      </c>
      <c r="R9" s="697" t="s">
        <v>14</v>
      </c>
      <c r="S9" s="698">
        <f t="shared" si="0"/>
        <v>100</v>
      </c>
      <c r="T9" s="697" t="s">
        <v>14</v>
      </c>
      <c r="U9" s="698">
        <f t="shared" si="1"/>
        <v>100</v>
      </c>
      <c r="V9" s="697" t="s">
        <v>14</v>
      </c>
      <c r="W9" s="698">
        <f t="shared" si="2"/>
        <v>100</v>
      </c>
      <c r="X9" s="699"/>
      <c r="Y9" s="3658" t="s">
        <v>1687</v>
      </c>
      <c r="Z9" s="52" t="str">
        <f t="shared" ref="Z9:Z14" si="7">Q9</f>
        <v>用途</v>
      </c>
      <c r="AA9" s="700">
        <f t="shared" si="3"/>
        <v>1</v>
      </c>
      <c r="AB9" s="700">
        <f t="shared" si="4"/>
        <v>1</v>
      </c>
      <c r="AC9" s="700">
        <f t="shared" si="5"/>
        <v>1</v>
      </c>
    </row>
    <row r="10" spans="1:29" s="375" customFormat="1" ht="27">
      <c r="A10" s="371"/>
      <c r="B10" s="372" t="s">
        <v>1688</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705"/>
      <c r="Q10" s="1339" t="str">
        <f t="shared" si="6"/>
        <v>土地使用年限（年）</v>
      </c>
      <c r="R10" s="697" t="s">
        <v>14</v>
      </c>
      <c r="S10" s="698">
        <f t="shared" si="0"/>
        <v>100</v>
      </c>
      <c r="T10" s="697" t="s">
        <v>14</v>
      </c>
      <c r="U10" s="698">
        <f t="shared" si="1"/>
        <v>100</v>
      </c>
      <c r="V10" s="697" t="s">
        <v>14</v>
      </c>
      <c r="W10" s="698">
        <f t="shared" si="2"/>
        <v>100</v>
      </c>
      <c r="X10" s="699"/>
      <c r="Y10" s="3658"/>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705"/>
      <c r="Q11" s="1339">
        <f t="shared" si="6"/>
        <v>111</v>
      </c>
      <c r="R11" s="697" t="s">
        <v>14</v>
      </c>
      <c r="S11" s="698">
        <f t="shared" si="0"/>
        <v>100</v>
      </c>
      <c r="T11" s="697" t="s">
        <v>14</v>
      </c>
      <c r="U11" s="698">
        <f t="shared" si="1"/>
        <v>100</v>
      </c>
      <c r="V11" s="697" t="s">
        <v>14</v>
      </c>
      <c r="W11" s="698">
        <f t="shared" si="2"/>
        <v>100</v>
      </c>
      <c r="X11" s="699"/>
      <c r="Y11" s="3658"/>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705"/>
      <c r="Q12" s="1339">
        <f t="shared" si="6"/>
        <v>111</v>
      </c>
      <c r="R12" s="697" t="s">
        <v>14</v>
      </c>
      <c r="S12" s="698">
        <f t="shared" si="0"/>
        <v>100</v>
      </c>
      <c r="T12" s="697" t="s">
        <v>14</v>
      </c>
      <c r="U12" s="698">
        <f t="shared" si="1"/>
        <v>100</v>
      </c>
      <c r="V12" s="697" t="s">
        <v>14</v>
      </c>
      <c r="W12" s="698">
        <f t="shared" si="2"/>
        <v>100</v>
      </c>
      <c r="X12" s="699"/>
      <c r="Y12" s="3658"/>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705"/>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700">
        <f t="shared" si="5"/>
        <v>1</v>
      </c>
    </row>
    <row r="14" spans="1:29" ht="85.5">
      <c r="A14" s="388" t="s">
        <v>1690</v>
      </c>
      <c r="B14" s="61" t="s">
        <v>1833</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720" t="s">
        <v>1691</v>
      </c>
      <c r="Q14" s="1348" t="str">
        <f t="shared" si="6"/>
        <v>交通便捷度</v>
      </c>
      <c r="R14" s="701" t="s">
        <v>14</v>
      </c>
      <c r="S14" s="702">
        <f t="shared" si="0"/>
        <v>100</v>
      </c>
      <c r="T14" s="701" t="s">
        <v>14</v>
      </c>
      <c r="U14" s="702">
        <f t="shared" si="1"/>
        <v>100</v>
      </c>
      <c r="V14" s="701" t="s">
        <v>14</v>
      </c>
      <c r="W14" s="702">
        <f t="shared" si="2"/>
        <v>100</v>
      </c>
      <c r="X14" s="1351"/>
      <c r="Y14" s="3720"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721"/>
      <c r="Q15" s="1348"/>
      <c r="R15" s="701"/>
      <c r="S15" s="702"/>
      <c r="T15" s="701"/>
      <c r="U15" s="702"/>
      <c r="V15" s="701"/>
      <c r="W15" s="702"/>
      <c r="X15" s="1351"/>
      <c r="Y15" s="3721"/>
      <c r="Z15" s="1352"/>
      <c r="AA15" s="1349">
        <v>1</v>
      </c>
      <c r="AB15" s="1349">
        <v>1</v>
      </c>
      <c r="AC15" s="1349">
        <v>1</v>
      </c>
    </row>
    <row r="16" spans="1:29" ht="42.75">
      <c r="A16" s="376"/>
      <c r="B16" s="399" t="s">
        <v>1812</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721"/>
      <c r="Q16" s="1348" t="str">
        <f>B16</f>
        <v>公共配套设施</v>
      </c>
      <c r="R16" s="701" t="s">
        <v>14</v>
      </c>
      <c r="S16" s="702">
        <f>F16</f>
        <v>100</v>
      </c>
      <c r="T16" s="701" t="s">
        <v>14</v>
      </c>
      <c r="U16" s="702">
        <f>H16</f>
        <v>100</v>
      </c>
      <c r="V16" s="701" t="s">
        <v>14</v>
      </c>
      <c r="W16" s="702">
        <f>J16</f>
        <v>100</v>
      </c>
      <c r="X16" s="1351"/>
      <c r="Y16" s="3721"/>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721"/>
      <c r="Q17" s="1348"/>
      <c r="R17" s="701"/>
      <c r="S17" s="702"/>
      <c r="T17" s="701"/>
      <c r="U17" s="702"/>
      <c r="V17" s="701"/>
      <c r="W17" s="702"/>
      <c r="X17" s="1351"/>
      <c r="Y17" s="3721"/>
      <c r="Z17" s="1352"/>
      <c r="AA17" s="1349">
        <v>1</v>
      </c>
      <c r="AB17" s="1349">
        <v>1</v>
      </c>
      <c r="AC17" s="1349">
        <v>1</v>
      </c>
    </row>
    <row r="18" spans="1:29" ht="28.5">
      <c r="A18" s="376"/>
      <c r="B18" s="1127" t="s">
        <v>1813</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721"/>
      <c r="Q18" s="1348" t="str">
        <f>B18</f>
        <v>基础设施水平</v>
      </c>
      <c r="R18" s="701" t="s">
        <v>14</v>
      </c>
      <c r="S18" s="702">
        <f>F18</f>
        <v>100</v>
      </c>
      <c r="T18" s="701" t="s">
        <v>14</v>
      </c>
      <c r="U18" s="702">
        <f>H18</f>
        <v>100</v>
      </c>
      <c r="V18" s="701" t="s">
        <v>14</v>
      </c>
      <c r="W18" s="702">
        <f>J18</f>
        <v>100</v>
      </c>
      <c r="X18" s="1351"/>
      <c r="Y18" s="3721"/>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721"/>
      <c r="Q19" s="1348"/>
      <c r="R19" s="701"/>
      <c r="S19" s="702"/>
      <c r="T19" s="701"/>
      <c r="U19" s="702"/>
      <c r="V19" s="701"/>
      <c r="W19" s="702"/>
      <c r="X19" s="1351"/>
      <c r="Y19" s="3721"/>
      <c r="Z19" s="1352"/>
      <c r="AA19" s="1349">
        <v>1</v>
      </c>
      <c r="AB19" s="1349">
        <v>1</v>
      </c>
      <c r="AC19" s="1349">
        <v>1</v>
      </c>
    </row>
    <row r="20" spans="1:29" ht="57">
      <c r="A20" s="376"/>
      <c r="B20" s="399" t="s">
        <v>1834</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721"/>
      <c r="Q20" s="1348" t="str">
        <f>B20</f>
        <v>自然及人文环境</v>
      </c>
      <c r="R20" s="701" t="s">
        <v>14</v>
      </c>
      <c r="S20" s="702">
        <f>F20</f>
        <v>100</v>
      </c>
      <c r="T20" s="701" t="s">
        <v>14</v>
      </c>
      <c r="U20" s="702">
        <f>H20</f>
        <v>100</v>
      </c>
      <c r="V20" s="701" t="s">
        <v>14</v>
      </c>
      <c r="W20" s="702">
        <f>J20</f>
        <v>100</v>
      </c>
      <c r="X20" s="1351"/>
      <c r="Y20" s="3721"/>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721"/>
      <c r="Q21" s="1348"/>
      <c r="R21" s="701"/>
      <c r="S21" s="702"/>
      <c r="T21" s="701"/>
      <c r="U21" s="702"/>
      <c r="V21" s="701"/>
      <c r="W21" s="702"/>
      <c r="X21" s="1351"/>
      <c r="Y21" s="3721"/>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721"/>
      <c r="Q22" s="1348" t="str">
        <f>B22</f>
        <v>楼层</v>
      </c>
      <c r="R22" s="701" t="s">
        <v>14</v>
      </c>
      <c r="S22" s="702">
        <f>F22</f>
        <v>100</v>
      </c>
      <c r="T22" s="701" t="s">
        <v>14</v>
      </c>
      <c r="U22" s="702">
        <f>H22</f>
        <v>100</v>
      </c>
      <c r="V22" s="701" t="s">
        <v>14</v>
      </c>
      <c r="W22" s="702">
        <f>J22</f>
        <v>100</v>
      </c>
      <c r="X22" s="1351"/>
      <c r="Y22" s="3721"/>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721"/>
      <c r="Q23" s="1348">
        <f>B23</f>
        <v>111</v>
      </c>
      <c r="R23" s="701" t="s">
        <v>14</v>
      </c>
      <c r="S23" s="702">
        <f>F23</f>
        <v>100</v>
      </c>
      <c r="T23" s="701" t="s">
        <v>14</v>
      </c>
      <c r="U23" s="702">
        <f>H23</f>
        <v>100</v>
      </c>
      <c r="V23" s="701" t="s">
        <v>14</v>
      </c>
      <c r="W23" s="702">
        <f>J23</f>
        <v>100</v>
      </c>
      <c r="X23" s="1351"/>
      <c r="Y23" s="3721"/>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721"/>
      <c r="Q24" s="1348">
        <f t="shared" ref="Q24:Q34" si="11">B24</f>
        <v>111</v>
      </c>
      <c r="R24" s="701" t="s">
        <v>14</v>
      </c>
      <c r="S24" s="702">
        <f>F24</f>
        <v>100</v>
      </c>
      <c r="T24" s="701" t="s">
        <v>14</v>
      </c>
      <c r="U24" s="702">
        <f>H24</f>
        <v>100</v>
      </c>
      <c r="V24" s="701" t="s">
        <v>14</v>
      </c>
      <c r="W24" s="702">
        <f>J24</f>
        <v>100</v>
      </c>
      <c r="X24" s="1351"/>
      <c r="Y24" s="3721"/>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721"/>
      <c r="Q25" s="1339">
        <f t="shared" si="11"/>
        <v>111</v>
      </c>
      <c r="R25" s="697" t="s">
        <v>14</v>
      </c>
      <c r="S25" s="698">
        <f>F25</f>
        <v>100</v>
      </c>
      <c r="T25" s="697" t="s">
        <v>14</v>
      </c>
      <c r="U25" s="698">
        <f>H25</f>
        <v>100</v>
      </c>
      <c r="V25" s="697" t="s">
        <v>14</v>
      </c>
      <c r="W25" s="698">
        <f>J25</f>
        <v>100</v>
      </c>
      <c r="X25" s="699"/>
      <c r="Y25" s="3721"/>
      <c r="Z25" s="52">
        <f>Q25</f>
        <v>111</v>
      </c>
      <c r="AA25" s="1349">
        <f>D25/F25</f>
        <v>1</v>
      </c>
      <c r="AB25" s="1349">
        <f>D25/H25</f>
        <v>1</v>
      </c>
      <c r="AC25" s="1349">
        <f>D25/J25</f>
        <v>1</v>
      </c>
    </row>
    <row r="26" spans="1:29" ht="28.5">
      <c r="A26" s="414" t="s">
        <v>1694</v>
      </c>
      <c r="B26" s="63" t="s">
        <v>1838</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722"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3"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723"/>
      <c r="Q27" s="703" t="str">
        <f t="shared" si="11"/>
        <v>成新率</v>
      </c>
      <c r="R27" s="704" t="s">
        <v>14</v>
      </c>
      <c r="S27" s="705" t="e">
        <f t="shared" si="12"/>
        <v>#N/A</v>
      </c>
      <c r="T27" s="704" t="s">
        <v>14</v>
      </c>
      <c r="U27" s="705" t="e">
        <f t="shared" si="13"/>
        <v>#N/A</v>
      </c>
      <c r="V27" s="704" t="s">
        <v>14</v>
      </c>
      <c r="W27" s="705" t="e">
        <f t="shared" si="14"/>
        <v>#N/A</v>
      </c>
      <c r="X27" s="706"/>
      <c r="Y27" s="3723"/>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723"/>
      <c r="Q28" s="1348" t="str">
        <f t="shared" si="11"/>
        <v>物业等级</v>
      </c>
      <c r="R28" s="701" t="s">
        <v>14</v>
      </c>
      <c r="S28" s="702">
        <f t="shared" si="12"/>
        <v>100</v>
      </c>
      <c r="T28" s="701" t="s">
        <v>14</v>
      </c>
      <c r="U28" s="702">
        <f t="shared" si="13"/>
        <v>100</v>
      </c>
      <c r="V28" s="701" t="s">
        <v>14</v>
      </c>
      <c r="W28" s="702">
        <f t="shared" si="14"/>
        <v>100</v>
      </c>
      <c r="X28" s="1351"/>
      <c r="Y28" s="3723"/>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723"/>
      <c r="Q29" s="1348" t="str">
        <f t="shared" si="11"/>
        <v>有无电梯</v>
      </c>
      <c r="R29" s="701" t="s">
        <v>14</v>
      </c>
      <c r="S29" s="702">
        <f t="shared" si="12"/>
        <v>100</v>
      </c>
      <c r="T29" s="701" t="s">
        <v>14</v>
      </c>
      <c r="U29" s="702">
        <f t="shared" si="13"/>
        <v>100</v>
      </c>
      <c r="V29" s="701" t="s">
        <v>14</v>
      </c>
      <c r="W29" s="702">
        <f t="shared" si="14"/>
        <v>100</v>
      </c>
      <c r="X29" s="1351"/>
      <c r="Y29" s="3723"/>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723"/>
      <c r="Q30" s="1348" t="str">
        <f t="shared" si="11"/>
        <v>建筑面积</v>
      </c>
      <c r="R30" s="701" t="s">
        <v>14</v>
      </c>
      <c r="S30" s="702" t="e">
        <f t="shared" si="12"/>
        <v>#N/A</v>
      </c>
      <c r="T30" s="701" t="s">
        <v>14</v>
      </c>
      <c r="U30" s="702" t="e">
        <f t="shared" si="13"/>
        <v>#N/A</v>
      </c>
      <c r="V30" s="701" t="s">
        <v>14</v>
      </c>
      <c r="W30" s="702" t="e">
        <f t="shared" si="14"/>
        <v>#N/A</v>
      </c>
      <c r="X30" s="1351"/>
      <c r="Y30" s="3723"/>
      <c r="Z30" s="1352" t="str">
        <f t="shared" si="15"/>
        <v>建筑面积</v>
      </c>
      <c r="AA30" s="1349" t="e">
        <f t="shared" si="3"/>
        <v>#N/A</v>
      </c>
      <c r="AB30" s="1349" t="e">
        <f t="shared" si="4"/>
        <v>#N/A</v>
      </c>
      <c r="AC30" s="1349"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723"/>
      <c r="Q31" s="1339" t="str">
        <f t="shared" si="11"/>
        <v>是否封闭</v>
      </c>
      <c r="R31" s="697" t="s">
        <v>14</v>
      </c>
      <c r="S31" s="698">
        <f t="shared" si="12"/>
        <v>100</v>
      </c>
      <c r="T31" s="697" t="s">
        <v>14</v>
      </c>
      <c r="U31" s="698">
        <f t="shared" si="13"/>
        <v>100</v>
      </c>
      <c r="V31" s="697" t="s">
        <v>14</v>
      </c>
      <c r="W31" s="698">
        <f t="shared" si="14"/>
        <v>100</v>
      </c>
      <c r="X31" s="699"/>
      <c r="Y31" s="3723"/>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723" t="s">
        <v>1696</v>
      </c>
      <c r="Q32" s="1348">
        <f t="shared" si="11"/>
        <v>111</v>
      </c>
      <c r="R32" s="701" t="s">
        <v>14</v>
      </c>
      <c r="S32" s="702">
        <f t="shared" si="12"/>
        <v>100</v>
      </c>
      <c r="T32" s="701" t="s">
        <v>14</v>
      </c>
      <c r="U32" s="702">
        <f t="shared" si="13"/>
        <v>100</v>
      </c>
      <c r="V32" s="701" t="s">
        <v>14</v>
      </c>
      <c r="W32" s="702">
        <f t="shared" si="14"/>
        <v>100</v>
      </c>
      <c r="X32" s="1351"/>
      <c r="Y32" s="3723" t="s">
        <v>1696</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723"/>
      <c r="Q33" s="1348">
        <f t="shared" si="11"/>
        <v>111</v>
      </c>
      <c r="R33" s="701" t="s">
        <v>14</v>
      </c>
      <c r="S33" s="702">
        <f t="shared" si="12"/>
        <v>100</v>
      </c>
      <c r="T33" s="701" t="s">
        <v>14</v>
      </c>
      <c r="U33" s="702">
        <f t="shared" si="13"/>
        <v>100</v>
      </c>
      <c r="V33" s="701" t="s">
        <v>14</v>
      </c>
      <c r="W33" s="702">
        <f t="shared" si="14"/>
        <v>100</v>
      </c>
      <c r="X33" s="1351"/>
      <c r="Y33" s="3723"/>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723"/>
      <c r="Q34" s="1348">
        <f t="shared" si="11"/>
        <v>111</v>
      </c>
      <c r="R34" s="701" t="s">
        <v>14</v>
      </c>
      <c r="S34" s="702">
        <f t="shared" si="12"/>
        <v>100</v>
      </c>
      <c r="T34" s="701" t="s">
        <v>14</v>
      </c>
      <c r="U34" s="702">
        <f t="shared" si="13"/>
        <v>100</v>
      </c>
      <c r="V34" s="701" t="s">
        <v>14</v>
      </c>
      <c r="W34" s="702">
        <f t="shared" si="14"/>
        <v>100</v>
      </c>
      <c r="X34" s="1351"/>
      <c r="Y34" s="3723"/>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20"/>
      <c r="M35" s="2721"/>
      <c r="N35" s="2712"/>
      <c r="O35" s="2721"/>
      <c r="P35" s="3705" t="str">
        <f>A35</f>
        <v>成交单价（元/平方米）</v>
      </c>
      <c r="Q35" s="3705"/>
      <c r="R35" s="3725">
        <f>E35</f>
        <v>0</v>
      </c>
      <c r="S35" s="3725"/>
      <c r="T35" s="3725">
        <f>G35</f>
        <v>0</v>
      </c>
      <c r="U35" s="3725"/>
      <c r="V35" s="3725">
        <f>I35</f>
        <v>0</v>
      </c>
      <c r="W35" s="3725"/>
      <c r="X35" s="686"/>
      <c r="Y35" s="708"/>
      <c r="Z35" s="686"/>
      <c r="AA35" s="686"/>
      <c r="AB35" s="686"/>
      <c r="AC35" s="686"/>
    </row>
    <row r="36" spans="1:30" ht="15.75" thickBot="1">
      <c r="A36" s="434" t="s">
        <v>1793</v>
      </c>
      <c r="B36" s="435"/>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05" t="str">
        <f>A36</f>
        <v>比较价值（元/平方米）</v>
      </c>
      <c r="Q36" s="3705"/>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20"/>
      <c r="M37" s="2721"/>
      <c r="N37" s="2721"/>
      <c r="O37" s="2721"/>
      <c r="P37" s="3726" t="str">
        <f>A37</f>
        <v>估价对象XX用房的比较价值（楼面单价，元/平方米）</v>
      </c>
      <c r="Q37" s="3727"/>
      <c r="R37" s="3775" t="e">
        <f>IF(F1="售价",ROUND(IF(D36="简单平均",AVERAGE(R36:W36),R36*F36+T36*H36+V36*J36),0),ROUND(IF(D36="简单平均",AVERAGE(R36:V36),R36*F36+T36*H36+V36*J36),1))</f>
        <v>#DIV/0!</v>
      </c>
      <c r="S37" s="3775"/>
      <c r="T37" s="3775"/>
      <c r="U37" s="3775"/>
      <c r="V37" s="3775"/>
      <c r="W37" s="3775"/>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1798</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1679</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1716</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1681</v>
      </c>
      <c r="B49" s="456"/>
      <c r="C49" s="468" t="s">
        <v>1776</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1719</v>
      </c>
      <c r="B51" s="474" t="s">
        <v>1685</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1688</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1863</v>
      </c>
      <c r="C63" s="524" t="s">
        <v>1721</v>
      </c>
      <c r="D63" s="524" t="s">
        <v>1722</v>
      </c>
      <c r="E63" s="524" t="s">
        <v>1723</v>
      </c>
      <c r="F63" s="524" t="s">
        <v>1724</v>
      </c>
      <c r="G63" s="524" t="s">
        <v>1725</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1813</v>
      </c>
      <c r="C65" s="605" t="s">
        <v>1799</v>
      </c>
      <c r="D65" s="605" t="s">
        <v>1800</v>
      </c>
      <c r="E65" s="605" t="s">
        <v>1801</v>
      </c>
      <c r="F65" s="605" t="s">
        <v>1802</v>
      </c>
      <c r="G65" s="605" t="s">
        <v>1803</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1733</v>
      </c>
      <c r="C67" s="524" t="s">
        <v>1721</v>
      </c>
      <c r="D67" s="524" t="s">
        <v>1722</v>
      </c>
      <c r="E67" s="524" t="s">
        <v>1723</v>
      </c>
      <c r="F67" s="524" t="s">
        <v>1724</v>
      </c>
      <c r="G67" s="524" t="s">
        <v>1725</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1852</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1694</v>
      </c>
      <c r="B77" s="474" t="s">
        <v>1740</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1856</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1864</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1866</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1769</v>
      </c>
      <c r="B4" s="353"/>
      <c r="C4" s="3706" t="s">
        <v>1770</v>
      </c>
      <c r="D4" s="3707"/>
      <c r="E4" s="3708" t="s">
        <v>1771</v>
      </c>
      <c r="F4" s="3709"/>
      <c r="G4" s="3706" t="s">
        <v>1772</v>
      </c>
      <c r="H4" s="3707"/>
      <c r="I4" s="3706" t="s">
        <v>1773</v>
      </c>
      <c r="J4" s="3707"/>
      <c r="K4" s="556" t="s">
        <v>1774</v>
      </c>
      <c r="L4" s="2711"/>
      <c r="M4" s="2712"/>
      <c r="N4" s="2712"/>
      <c r="O4" s="2712"/>
      <c r="P4" s="3710" t="s">
        <v>1775</v>
      </c>
      <c r="Q4" s="3711"/>
      <c r="R4" s="3695" t="s">
        <v>1771</v>
      </c>
      <c r="S4" s="3696"/>
      <c r="T4" s="3695" t="s">
        <v>1772</v>
      </c>
      <c r="U4" s="3696"/>
      <c r="V4" s="3718" t="s">
        <v>1773</v>
      </c>
      <c r="W4" s="3718"/>
      <c r="X4" s="1351"/>
      <c r="Y4" s="3695" t="s">
        <v>1775</v>
      </c>
      <c r="Z4" s="3696"/>
      <c r="AA4" s="3690" t="s">
        <v>1771</v>
      </c>
      <c r="AB4" s="3691" t="s">
        <v>1772</v>
      </c>
      <c r="AC4" s="3690" t="s">
        <v>1773</v>
      </c>
    </row>
    <row r="5" spans="1:30" ht="15">
      <c r="A5" s="355"/>
      <c r="B5" s="356"/>
      <c r="C5" s="3752" t="s">
        <v>1673</v>
      </c>
      <c r="D5" s="3753"/>
      <c r="E5" s="3750" t="s">
        <v>1674</v>
      </c>
      <c r="F5" s="3751"/>
      <c r="G5" s="3752" t="s">
        <v>1675</v>
      </c>
      <c r="H5" s="3753"/>
      <c r="I5" s="3752" t="s">
        <v>1676</v>
      </c>
      <c r="J5" s="3753"/>
      <c r="K5" s="556"/>
      <c r="L5" s="2711"/>
      <c r="M5" s="2712"/>
      <c r="N5" s="2712"/>
      <c r="O5" s="2712"/>
      <c r="P5" s="3712"/>
      <c r="Q5" s="3713"/>
      <c r="R5" s="3697"/>
      <c r="S5" s="3698"/>
      <c r="T5" s="3697"/>
      <c r="U5" s="3698"/>
      <c r="V5" s="3718"/>
      <c r="W5" s="3718"/>
      <c r="X5" s="1351"/>
      <c r="Y5" s="3697"/>
      <c r="Z5" s="3698"/>
      <c r="AA5" s="3691"/>
      <c r="AB5" s="3691"/>
      <c r="AC5" s="3691"/>
    </row>
    <row r="6" spans="1:30" ht="15.75" thickBot="1">
      <c r="A6" s="357"/>
      <c r="B6" s="358"/>
      <c r="C6" s="3701" t="s">
        <v>1677</v>
      </c>
      <c r="D6" s="3702"/>
      <c r="E6" s="3703" t="s">
        <v>1677</v>
      </c>
      <c r="F6" s="3704"/>
      <c r="G6" s="3701" t="s">
        <v>1677</v>
      </c>
      <c r="H6" s="3702"/>
      <c r="I6" s="3701" t="s">
        <v>1677</v>
      </c>
      <c r="J6" s="3702"/>
      <c r="K6" s="556" t="s">
        <v>1678</v>
      </c>
      <c r="L6" s="2711"/>
      <c r="M6" s="2712"/>
      <c r="N6" s="2712"/>
      <c r="O6" s="2712"/>
      <c r="P6" s="3714"/>
      <c r="Q6" s="3715"/>
      <c r="R6" s="3697"/>
      <c r="S6" s="3698"/>
      <c r="T6" s="3716"/>
      <c r="U6" s="3717"/>
      <c r="V6" s="3718"/>
      <c r="W6" s="3718"/>
      <c r="X6" s="1351"/>
      <c r="Y6" s="3716"/>
      <c r="Z6" s="3717"/>
      <c r="AA6" s="3692"/>
      <c r="AB6" s="3692"/>
      <c r="AC6" s="3692"/>
    </row>
    <row r="7" spans="1:30" s="108" customFormat="1" ht="15.75" thickBot="1">
      <c r="A7" s="359" t="s">
        <v>1679</v>
      </c>
      <c r="B7" s="360"/>
      <c r="C7" s="361">
        <f>'数据-取费表'!B2</f>
        <v>45888</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693" t="s">
        <v>1680</v>
      </c>
      <c r="Q7" s="3719"/>
      <c r="R7" s="697" t="s">
        <v>14</v>
      </c>
      <c r="S7" s="698">
        <f t="shared" ref="S7:S15" si="0">F7</f>
        <v>0</v>
      </c>
      <c r="T7" s="697" t="s">
        <v>14</v>
      </c>
      <c r="U7" s="698">
        <f t="shared" ref="U7:U15" si="1">H7</f>
        <v>0</v>
      </c>
      <c r="V7" s="697" t="s">
        <v>14</v>
      </c>
      <c r="W7" s="698">
        <f t="shared" ref="W7:W15" si="2">J7</f>
        <v>0</v>
      </c>
      <c r="X7" s="699"/>
      <c r="Y7" s="3693" t="s">
        <v>1680</v>
      </c>
      <c r="Z7" s="3694"/>
      <c r="AA7" s="700" t="e">
        <f>D7/F7</f>
        <v>#DIV/0!</v>
      </c>
      <c r="AB7" s="700" t="e">
        <f>D7/H7</f>
        <v>#DIV/0!</v>
      </c>
      <c r="AC7" s="700"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693" t="s">
        <v>1683</v>
      </c>
      <c r="Q8" s="3694"/>
      <c r="R8" s="697" t="s">
        <v>14</v>
      </c>
      <c r="S8" s="698">
        <f t="shared" si="0"/>
        <v>0</v>
      </c>
      <c r="T8" s="697" t="s">
        <v>14</v>
      </c>
      <c r="U8" s="698">
        <f t="shared" si="1"/>
        <v>0</v>
      </c>
      <c r="V8" s="697" t="s">
        <v>14</v>
      </c>
      <c r="W8" s="698">
        <f t="shared" si="2"/>
        <v>0</v>
      </c>
      <c r="X8" s="699"/>
      <c r="Y8" s="3693" t="s">
        <v>1683</v>
      </c>
      <c r="Z8" s="3694"/>
      <c r="AA8" s="700" t="e">
        <f t="shared" ref="AA8:AA45" si="3">D8/F8</f>
        <v>#DIV/0!</v>
      </c>
      <c r="AB8" s="700" t="e">
        <f t="shared" ref="AB8:AB45" si="4">D8/H8</f>
        <v>#DIV/0!</v>
      </c>
      <c r="AC8" s="700" t="e">
        <f t="shared" ref="AC8:AC45" si="5">D8/J8</f>
        <v>#DIV/0!</v>
      </c>
    </row>
    <row r="9" spans="1:30" s="108" customFormat="1">
      <c r="A9" s="366" t="s">
        <v>1684</v>
      </c>
      <c r="B9" s="63" t="s">
        <v>1685</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705"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125</v>
      </c>
      <c r="G10" s="411"/>
      <c r="H10" s="124">
        <f>ROUND(100/'数据-取费表'!G16,0)</f>
        <v>125</v>
      </c>
      <c r="I10" s="411"/>
      <c r="J10" s="124">
        <f>ROUND(100/'数据-取费表'!G16,0)</f>
        <v>125</v>
      </c>
      <c r="K10" s="617"/>
      <c r="L10" s="2715"/>
      <c r="M10" s="2716"/>
      <c r="N10" s="2716"/>
      <c r="O10" s="2769"/>
      <c r="P10" s="3705"/>
      <c r="Q10" s="1339" t="str">
        <f t="shared" si="6"/>
        <v>土地使用年限（年）</v>
      </c>
      <c r="R10" s="697" t="s">
        <v>14</v>
      </c>
      <c r="S10" s="698">
        <f t="shared" si="0"/>
        <v>125</v>
      </c>
      <c r="T10" s="697" t="s">
        <v>14</v>
      </c>
      <c r="U10" s="698">
        <f t="shared" si="1"/>
        <v>125</v>
      </c>
      <c r="V10" s="697" t="s">
        <v>14</v>
      </c>
      <c r="W10" s="698">
        <f t="shared" si="2"/>
        <v>125</v>
      </c>
      <c r="X10" s="699"/>
      <c r="Y10" s="3658"/>
      <c r="Z10" s="52" t="str">
        <f t="shared" si="7"/>
        <v>土地使用年限（年）</v>
      </c>
      <c r="AA10" s="700">
        <f t="shared" si="3"/>
        <v>0.8</v>
      </c>
      <c r="AB10" s="700">
        <f t="shared" si="4"/>
        <v>0.8</v>
      </c>
      <c r="AC10" s="700">
        <f t="shared" si="5"/>
        <v>0.8</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705"/>
      <c r="Q11" s="1339" t="str">
        <f t="shared" si="6"/>
        <v>容积率</v>
      </c>
      <c r="R11" s="697" t="s">
        <v>14</v>
      </c>
      <c r="S11" s="698" t="e">
        <f t="shared" si="0"/>
        <v>#N/A</v>
      </c>
      <c r="T11" s="697" t="s">
        <v>14</v>
      </c>
      <c r="U11" s="698" t="e">
        <f t="shared" si="1"/>
        <v>#N/A</v>
      </c>
      <c r="V11" s="697" t="s">
        <v>14</v>
      </c>
      <c r="W11" s="698" t="e">
        <f t="shared" si="2"/>
        <v>#N/A</v>
      </c>
      <c r="X11" s="699"/>
      <c r="Y11" s="3658"/>
      <c r="Z11" s="52" t="str">
        <f t="shared" si="7"/>
        <v>容积率</v>
      </c>
      <c r="AA11" s="700" t="e">
        <f t="shared" si="3"/>
        <v>#N/A</v>
      </c>
      <c r="AB11" s="700" t="e">
        <f t="shared" si="4"/>
        <v>#N/A</v>
      </c>
      <c r="AC11" s="700" t="e">
        <f t="shared" si="5"/>
        <v>#N/A</v>
      </c>
    </row>
    <row r="12" spans="1:30" s="108" customFormat="1" ht="15">
      <c r="A12" s="379"/>
      <c r="B12" s="1889" t="s">
        <v>1870</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705"/>
      <c r="Q12" s="1339" t="str">
        <f t="shared" si="6"/>
        <v>配建</v>
      </c>
      <c r="R12" s="697" t="s">
        <v>14</v>
      </c>
      <c r="S12" s="698">
        <f t="shared" si="0"/>
        <v>100</v>
      </c>
      <c r="T12" s="697" t="s">
        <v>14</v>
      </c>
      <c r="U12" s="698">
        <f t="shared" si="1"/>
        <v>100</v>
      </c>
      <c r="V12" s="697" t="s">
        <v>14</v>
      </c>
      <c r="W12" s="698">
        <f t="shared" si="2"/>
        <v>100</v>
      </c>
      <c r="X12" s="699"/>
      <c r="Y12" s="3658"/>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705"/>
      <c r="Q13" s="1339">
        <f t="shared" si="6"/>
        <v>111</v>
      </c>
      <c r="R13" s="697" t="s">
        <v>14</v>
      </c>
      <c r="S13" s="698">
        <f t="shared" si="0"/>
        <v>100</v>
      </c>
      <c r="T13" s="697" t="s">
        <v>14</v>
      </c>
      <c r="U13" s="698">
        <f t="shared" si="1"/>
        <v>100</v>
      </c>
      <c r="V13" s="697" t="s">
        <v>14</v>
      </c>
      <c r="W13" s="698">
        <f t="shared" si="2"/>
        <v>100</v>
      </c>
      <c r="X13" s="699"/>
      <c r="Y13" s="3658"/>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705"/>
      <c r="Q14" s="1339">
        <f t="shared" si="6"/>
        <v>111</v>
      </c>
      <c r="R14" s="697" t="s">
        <v>14</v>
      </c>
      <c r="S14" s="698">
        <f t="shared" si="0"/>
        <v>100</v>
      </c>
      <c r="T14" s="697" t="s">
        <v>14</v>
      </c>
      <c r="U14" s="698">
        <f t="shared" si="1"/>
        <v>100</v>
      </c>
      <c r="V14" s="697" t="s">
        <v>14</v>
      </c>
      <c r="W14" s="698">
        <f t="shared" si="2"/>
        <v>100</v>
      </c>
      <c r="X14" s="699"/>
      <c r="Y14" s="3658"/>
      <c r="Z14" s="52">
        <f t="shared" si="7"/>
        <v>111</v>
      </c>
      <c r="AA14" s="700">
        <f>D14/F14</f>
        <v>1</v>
      </c>
      <c r="AB14" s="700">
        <f>D14/H14</f>
        <v>1</v>
      </c>
      <c r="AC14" s="700">
        <f>D14/J14</f>
        <v>1</v>
      </c>
    </row>
    <row r="15" spans="1:30" ht="99.75">
      <c r="A15" s="388" t="s">
        <v>1690</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720" t="s">
        <v>1691</v>
      </c>
      <c r="Q15" s="1348" t="str">
        <f t="shared" si="6"/>
        <v>居住社区成熟度</v>
      </c>
      <c r="R15" s="701" t="s">
        <v>14</v>
      </c>
      <c r="S15" s="702">
        <f t="shared" si="0"/>
        <v>100</v>
      </c>
      <c r="T15" s="701" t="s">
        <v>14</v>
      </c>
      <c r="U15" s="702">
        <f t="shared" si="1"/>
        <v>100</v>
      </c>
      <c r="V15" s="701" t="s">
        <v>14</v>
      </c>
      <c r="W15" s="702">
        <f t="shared" si="2"/>
        <v>100</v>
      </c>
      <c r="X15" s="1351"/>
      <c r="Y15" s="3720" t="s">
        <v>1691</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721"/>
      <c r="Q16" s="1348"/>
      <c r="R16" s="701"/>
      <c r="S16" s="702"/>
      <c r="T16" s="701"/>
      <c r="U16" s="702"/>
      <c r="V16" s="701"/>
      <c r="W16" s="702"/>
      <c r="X16" s="1351"/>
      <c r="Y16" s="3721"/>
      <c r="Z16" s="1352"/>
      <c r="AA16" s="1349">
        <v>1</v>
      </c>
      <c r="AB16" s="1349">
        <v>1</v>
      </c>
      <c r="AC16" s="1349">
        <v>1</v>
      </c>
    </row>
    <row r="17" spans="1:29" ht="71.25">
      <c r="A17" s="376"/>
      <c r="B17" s="399" t="s">
        <v>1777</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721"/>
      <c r="Q17" s="1348" t="str">
        <f>B17</f>
        <v>商业繁华度</v>
      </c>
      <c r="R17" s="701" t="s">
        <v>14</v>
      </c>
      <c r="S17" s="702">
        <f>F17</f>
        <v>100</v>
      </c>
      <c r="T17" s="701" t="s">
        <v>14</v>
      </c>
      <c r="U17" s="702">
        <f>H17</f>
        <v>100</v>
      </c>
      <c r="V17" s="701" t="s">
        <v>14</v>
      </c>
      <c r="W17" s="702">
        <f>J17</f>
        <v>100</v>
      </c>
      <c r="X17" s="1351"/>
      <c r="Y17" s="3721"/>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721"/>
      <c r="Q18" s="1348"/>
      <c r="R18" s="701"/>
      <c r="S18" s="702"/>
      <c r="T18" s="701"/>
      <c r="U18" s="702"/>
      <c r="V18" s="701"/>
      <c r="W18" s="702"/>
      <c r="X18" s="1351"/>
      <c r="Y18" s="3721"/>
      <c r="Z18" s="1352"/>
      <c r="AA18" s="1349">
        <v>1</v>
      </c>
      <c r="AB18" s="1349">
        <v>1</v>
      </c>
      <c r="AC18" s="1349">
        <v>1</v>
      </c>
    </row>
    <row r="19" spans="1:29" ht="71.25">
      <c r="A19" s="376"/>
      <c r="B19" s="399" t="s">
        <v>1811</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721"/>
      <c r="Q19" s="1348" t="str">
        <f>B19</f>
        <v>办公集聚程度</v>
      </c>
      <c r="R19" s="701" t="s">
        <v>14</v>
      </c>
      <c r="S19" s="702">
        <f>F19</f>
        <v>100</v>
      </c>
      <c r="T19" s="701" t="s">
        <v>14</v>
      </c>
      <c r="U19" s="702">
        <f>H19</f>
        <v>100</v>
      </c>
      <c r="V19" s="701" t="s">
        <v>14</v>
      </c>
      <c r="W19" s="702">
        <f>J19</f>
        <v>100</v>
      </c>
      <c r="X19" s="1351"/>
      <c r="Y19" s="3721"/>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721"/>
      <c r="Q20" s="1348"/>
      <c r="R20" s="701"/>
      <c r="S20" s="702"/>
      <c r="T20" s="701"/>
      <c r="U20" s="702"/>
      <c r="V20" s="701"/>
      <c r="W20" s="702"/>
      <c r="X20" s="1351"/>
      <c r="Y20" s="3721"/>
      <c r="Z20" s="1352"/>
      <c r="AA20" s="1349">
        <v>1</v>
      </c>
      <c r="AB20" s="1349">
        <v>1</v>
      </c>
      <c r="AC20" s="1349">
        <v>1</v>
      </c>
    </row>
    <row r="21" spans="1:29" ht="85.5">
      <c r="A21" s="376"/>
      <c r="B21" s="399" t="s">
        <v>1833</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721"/>
      <c r="Q21" s="1348" t="str">
        <f>B21</f>
        <v>交通便捷度</v>
      </c>
      <c r="R21" s="701" t="s">
        <v>14</v>
      </c>
      <c r="S21" s="702">
        <f>F21</f>
        <v>100</v>
      </c>
      <c r="T21" s="701" t="s">
        <v>14</v>
      </c>
      <c r="U21" s="702">
        <f>H21</f>
        <v>100</v>
      </c>
      <c r="V21" s="701" t="s">
        <v>14</v>
      </c>
      <c r="W21" s="702">
        <f>J21</f>
        <v>100</v>
      </c>
      <c r="X21" s="1351"/>
      <c r="Y21" s="3721"/>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721"/>
      <c r="Q22" s="1348"/>
      <c r="R22" s="701"/>
      <c r="S22" s="702"/>
      <c r="T22" s="701"/>
      <c r="U22" s="702"/>
      <c r="V22" s="701"/>
      <c r="W22" s="702"/>
      <c r="X22" s="1351"/>
      <c r="Y22" s="3721"/>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721"/>
      <c r="Q23" s="1348" t="str">
        <f t="shared" ref="Q23:Q37" si="8">B23</f>
        <v>区域土地利用方向</v>
      </c>
      <c r="R23" s="701" t="s">
        <v>14</v>
      </c>
      <c r="S23" s="702">
        <f>F23</f>
        <v>100</v>
      </c>
      <c r="T23" s="701" t="s">
        <v>14</v>
      </c>
      <c r="U23" s="702">
        <f>H23</f>
        <v>100</v>
      </c>
      <c r="V23" s="701" t="s">
        <v>14</v>
      </c>
      <c r="W23" s="702">
        <f>J23</f>
        <v>100</v>
      </c>
      <c r="X23" s="1351"/>
      <c r="Y23" s="3721"/>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721"/>
      <c r="Q24" s="1348"/>
      <c r="R24" s="701"/>
      <c r="S24" s="702"/>
      <c r="T24" s="701"/>
      <c r="U24" s="702"/>
      <c r="V24" s="701"/>
      <c r="W24" s="702"/>
      <c r="X24" s="1351"/>
      <c r="Y24" s="3721"/>
      <c r="Z24" s="1352"/>
      <c r="AA24" s="1349"/>
      <c r="AB24" s="1349"/>
      <c r="AC24" s="1349"/>
    </row>
    <row r="25" spans="1:29" ht="57">
      <c r="A25" s="355"/>
      <c r="B25" s="1127" t="s">
        <v>1872</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721"/>
      <c r="Q25" s="1348" t="str">
        <f t="shared" si="8"/>
        <v>自然及人文环境状况</v>
      </c>
      <c r="R25" s="701" t="s">
        <v>14</v>
      </c>
      <c r="S25" s="702">
        <f>F25</f>
        <v>100</v>
      </c>
      <c r="T25" s="701" t="s">
        <v>14</v>
      </c>
      <c r="U25" s="702">
        <f>H25</f>
        <v>100</v>
      </c>
      <c r="V25" s="701" t="s">
        <v>14</v>
      </c>
      <c r="W25" s="702">
        <f>J25</f>
        <v>100</v>
      </c>
      <c r="X25" s="1351"/>
      <c r="Y25" s="3721"/>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721"/>
      <c r="Q26" s="1348"/>
      <c r="R26" s="701"/>
      <c r="S26" s="702"/>
      <c r="T26" s="701"/>
      <c r="U26" s="702"/>
      <c r="V26" s="701"/>
      <c r="W26" s="702"/>
      <c r="X26" s="1351"/>
      <c r="Y26" s="3721"/>
      <c r="Z26" s="1352"/>
      <c r="AA26" s="1349">
        <v>1</v>
      </c>
      <c r="AB26" s="1349">
        <v>1</v>
      </c>
      <c r="AC26" s="1349">
        <v>1</v>
      </c>
    </row>
    <row r="27" spans="1:29" s="108" customFormat="1" ht="42.75">
      <c r="A27" s="594"/>
      <c r="B27" s="1127" t="s">
        <v>1778</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721"/>
      <c r="Q27" s="1339" t="str">
        <f t="shared" si="8"/>
        <v>公共配套设施</v>
      </c>
      <c r="R27" s="697" t="s">
        <v>14</v>
      </c>
      <c r="S27" s="698">
        <f>F27</f>
        <v>100</v>
      </c>
      <c r="T27" s="697" t="s">
        <v>14</v>
      </c>
      <c r="U27" s="698">
        <f>H27</f>
        <v>100</v>
      </c>
      <c r="V27" s="697" t="s">
        <v>14</v>
      </c>
      <c r="W27" s="698">
        <f>J27</f>
        <v>100</v>
      </c>
      <c r="X27" s="699"/>
      <c r="Y27" s="3721"/>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721"/>
      <c r="Q28" s="1339"/>
      <c r="R28" s="697"/>
      <c r="S28" s="698"/>
      <c r="T28" s="697"/>
      <c r="U28" s="698"/>
      <c r="V28" s="697"/>
      <c r="W28" s="698"/>
      <c r="X28" s="699"/>
      <c r="Y28" s="3721"/>
      <c r="Z28" s="52"/>
      <c r="AA28" s="1349">
        <v>1</v>
      </c>
      <c r="AB28" s="1349">
        <v>1</v>
      </c>
      <c r="AC28" s="1349">
        <v>1</v>
      </c>
    </row>
    <row r="29" spans="1:29" s="108" customFormat="1" ht="28.5">
      <c r="A29" s="594"/>
      <c r="B29" s="1127" t="s">
        <v>1779</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721"/>
      <c r="Q29" s="1339" t="str">
        <f t="shared" ref="Q29" si="9">B29</f>
        <v>基础设施水平</v>
      </c>
      <c r="R29" s="697" t="s">
        <v>14</v>
      </c>
      <c r="S29" s="698">
        <f>F29</f>
        <v>100</v>
      </c>
      <c r="T29" s="697" t="s">
        <v>14</v>
      </c>
      <c r="U29" s="698">
        <f>H29</f>
        <v>100</v>
      </c>
      <c r="V29" s="697" t="s">
        <v>14</v>
      </c>
      <c r="W29" s="698">
        <f>J29</f>
        <v>100</v>
      </c>
      <c r="X29" s="699"/>
      <c r="Y29" s="3721"/>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721"/>
      <c r="Q30" s="1339"/>
      <c r="R30" s="697"/>
      <c r="S30" s="698"/>
      <c r="T30" s="697"/>
      <c r="U30" s="698"/>
      <c r="V30" s="697"/>
      <c r="W30" s="698"/>
      <c r="X30" s="699"/>
      <c r="Y30" s="3721"/>
      <c r="Z30" s="52"/>
      <c r="AA30" s="1349">
        <v>1</v>
      </c>
      <c r="AB30" s="1349">
        <v>1</v>
      </c>
      <c r="AC30" s="1349">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721"/>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21"/>
      <c r="Z31" s="1352" t="str">
        <f t="shared" ref="Z31:Z45" si="13">Q31</f>
        <v>临街状况</v>
      </c>
      <c r="AA31" s="1349">
        <f t="shared" si="3"/>
        <v>1</v>
      </c>
      <c r="AB31" s="1349">
        <f t="shared" si="4"/>
        <v>1</v>
      </c>
      <c r="AC31" s="1349">
        <f t="shared" si="5"/>
        <v>1</v>
      </c>
    </row>
    <row r="32" spans="1:29" ht="27">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721"/>
      <c r="Q32" s="1348" t="str">
        <f t="shared" si="8"/>
        <v>毗邻道路的类型与等级</v>
      </c>
      <c r="R32" s="701" t="s">
        <v>14</v>
      </c>
      <c r="S32" s="702">
        <f t="shared" si="10"/>
        <v>100</v>
      </c>
      <c r="T32" s="701" t="s">
        <v>14</v>
      </c>
      <c r="U32" s="702">
        <f t="shared" si="11"/>
        <v>100</v>
      </c>
      <c r="V32" s="701" t="s">
        <v>14</v>
      </c>
      <c r="W32" s="702">
        <f t="shared" si="12"/>
        <v>100</v>
      </c>
      <c r="X32" s="1351"/>
      <c r="Y32" s="3721"/>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721"/>
      <c r="Q33" s="1348"/>
      <c r="R33" s="701"/>
      <c r="S33" s="702"/>
      <c r="T33" s="701"/>
      <c r="U33" s="702"/>
      <c r="V33" s="701"/>
      <c r="W33" s="702"/>
      <c r="X33" s="1351"/>
      <c r="Y33" s="3721"/>
      <c r="Z33" s="1352"/>
      <c r="AA33" s="1349">
        <v>1</v>
      </c>
      <c r="AB33" s="1349">
        <v>1</v>
      </c>
      <c r="AC33" s="1349">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721"/>
      <c r="Q34" s="1348" t="str">
        <f t="shared" si="8"/>
        <v>土地级别</v>
      </c>
      <c r="R34" s="701" t="s">
        <v>14</v>
      </c>
      <c r="S34" s="702">
        <f t="shared" si="10"/>
        <v>100</v>
      </c>
      <c r="T34" s="701" t="s">
        <v>14</v>
      </c>
      <c r="U34" s="702">
        <f t="shared" si="11"/>
        <v>100</v>
      </c>
      <c r="V34" s="701" t="s">
        <v>14</v>
      </c>
      <c r="W34" s="702">
        <f t="shared" si="12"/>
        <v>100</v>
      </c>
      <c r="X34" s="1351"/>
      <c r="Y34" s="3721"/>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721"/>
      <c r="Q35" s="1348">
        <f t="shared" si="8"/>
        <v>111</v>
      </c>
      <c r="R35" s="701" t="s">
        <v>14</v>
      </c>
      <c r="S35" s="702">
        <f t="shared" si="10"/>
        <v>100</v>
      </c>
      <c r="T35" s="701" t="s">
        <v>14</v>
      </c>
      <c r="U35" s="702">
        <f t="shared" si="11"/>
        <v>100</v>
      </c>
      <c r="V35" s="701" t="s">
        <v>14</v>
      </c>
      <c r="W35" s="702">
        <f t="shared" si="12"/>
        <v>100</v>
      </c>
      <c r="X35" s="1351"/>
      <c r="Y35" s="3721"/>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722" t="s">
        <v>1696</v>
      </c>
      <c r="Q36" s="1348">
        <f t="shared" si="8"/>
        <v>111</v>
      </c>
      <c r="R36" s="701" t="s">
        <v>14</v>
      </c>
      <c r="S36" s="702">
        <f t="shared" si="10"/>
        <v>100</v>
      </c>
      <c r="T36" s="701" t="s">
        <v>14</v>
      </c>
      <c r="U36" s="702">
        <f t="shared" si="11"/>
        <v>100</v>
      </c>
      <c r="V36" s="701" t="s">
        <v>14</v>
      </c>
      <c r="W36" s="702">
        <f t="shared" si="12"/>
        <v>100</v>
      </c>
      <c r="X36" s="1351"/>
      <c r="Y36" s="3723" t="s">
        <v>1696</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723"/>
      <c r="Q37" s="1348">
        <f t="shared" si="8"/>
        <v>111</v>
      </c>
      <c r="R37" s="704" t="s">
        <v>14</v>
      </c>
      <c r="S37" s="705">
        <f t="shared" si="10"/>
        <v>100</v>
      </c>
      <c r="T37" s="704" t="s">
        <v>14</v>
      </c>
      <c r="U37" s="705">
        <f t="shared" si="11"/>
        <v>100</v>
      </c>
      <c r="V37" s="704" t="s">
        <v>14</v>
      </c>
      <c r="W37" s="705">
        <f t="shared" si="12"/>
        <v>100</v>
      </c>
      <c r="X37" s="706"/>
      <c r="Y37" s="3723"/>
      <c r="Z37" s="707">
        <f t="shared" si="13"/>
        <v>111</v>
      </c>
      <c r="AA37" s="1349">
        <f t="shared" si="3"/>
        <v>1</v>
      </c>
      <c r="AB37" s="1349">
        <f t="shared" si="4"/>
        <v>1</v>
      </c>
      <c r="AC37" s="1349">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723"/>
      <c r="Q38" s="1348" t="str">
        <f>B38</f>
        <v>宗地面积</v>
      </c>
      <c r="R38" s="701" t="s">
        <v>14</v>
      </c>
      <c r="S38" s="702" t="e">
        <f t="shared" si="10"/>
        <v>#N/A</v>
      </c>
      <c r="T38" s="701" t="s">
        <v>14</v>
      </c>
      <c r="U38" s="702" t="e">
        <f t="shared" si="11"/>
        <v>#N/A</v>
      </c>
      <c r="V38" s="701" t="s">
        <v>14</v>
      </c>
      <c r="W38" s="702" t="e">
        <f t="shared" si="12"/>
        <v>#N/A</v>
      </c>
      <c r="X38" s="1351"/>
      <c r="Y38" s="3723"/>
      <c r="Z38" s="1352" t="str">
        <f t="shared" si="13"/>
        <v>宗地面积</v>
      </c>
      <c r="AA38" s="1349" t="e">
        <f t="shared" si="3"/>
        <v>#N/A</v>
      </c>
      <c r="AB38" s="1349" t="e">
        <f t="shared" si="4"/>
        <v>#N/A</v>
      </c>
      <c r="AC38" s="1349" t="e">
        <f t="shared" si="5"/>
        <v>#N/A</v>
      </c>
    </row>
    <row r="39" spans="1:29" ht="15">
      <c r="A39" s="420"/>
      <c r="B39" s="372" t="s">
        <v>1875</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723"/>
      <c r="Q39" s="1348" t="str">
        <f t="shared" ref="Q39:Q45" si="14">B39</f>
        <v>宗地形状</v>
      </c>
      <c r="R39" s="701" t="s">
        <v>14</v>
      </c>
      <c r="S39" s="702">
        <f t="shared" si="10"/>
        <v>100</v>
      </c>
      <c r="T39" s="701" t="s">
        <v>14</v>
      </c>
      <c r="U39" s="702">
        <f t="shared" si="11"/>
        <v>100</v>
      </c>
      <c r="V39" s="701" t="s">
        <v>14</v>
      </c>
      <c r="W39" s="702">
        <f t="shared" si="12"/>
        <v>100</v>
      </c>
      <c r="X39" s="1351"/>
      <c r="Y39" s="3723"/>
      <c r="Z39" s="1352" t="str">
        <f t="shared" si="13"/>
        <v>宗地形状</v>
      </c>
      <c r="AA39" s="1349">
        <f t="shared" si="3"/>
        <v>1</v>
      </c>
      <c r="AB39" s="1349">
        <f t="shared" si="4"/>
        <v>1</v>
      </c>
      <c r="AC39" s="1349">
        <f t="shared" si="5"/>
        <v>1</v>
      </c>
    </row>
    <row r="40" spans="1:29" ht="15">
      <c r="A40" s="420"/>
      <c r="B40" s="372" t="s">
        <v>1876</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723"/>
      <c r="Q40" s="1348" t="str">
        <f t="shared" si="14"/>
        <v>临街宽度及深度</v>
      </c>
      <c r="R40" s="701" t="s">
        <v>14</v>
      </c>
      <c r="S40" s="702">
        <f t="shared" si="10"/>
        <v>100</v>
      </c>
      <c r="T40" s="701" t="s">
        <v>14</v>
      </c>
      <c r="U40" s="702">
        <f t="shared" si="11"/>
        <v>100</v>
      </c>
      <c r="V40" s="701" t="s">
        <v>14</v>
      </c>
      <c r="W40" s="702">
        <f t="shared" si="12"/>
        <v>100</v>
      </c>
      <c r="X40" s="1351"/>
      <c r="Y40" s="3723"/>
      <c r="Z40" s="1352" t="str">
        <f t="shared" si="13"/>
        <v>临街宽度及深度</v>
      </c>
      <c r="AA40" s="1349">
        <f t="shared" si="3"/>
        <v>1</v>
      </c>
      <c r="AB40" s="1349">
        <f t="shared" si="4"/>
        <v>1</v>
      </c>
      <c r="AC40" s="1349">
        <f t="shared" si="5"/>
        <v>1</v>
      </c>
    </row>
    <row r="41" spans="1:29" s="108" customFormat="1" ht="15">
      <c r="A41" s="421"/>
      <c r="B41" s="372" t="s">
        <v>1877</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723"/>
      <c r="Q41" s="1348" t="str">
        <f t="shared" si="14"/>
        <v>宗地开发程度</v>
      </c>
      <c r="R41" s="697" t="s">
        <v>14</v>
      </c>
      <c r="S41" s="698">
        <f t="shared" si="10"/>
        <v>100</v>
      </c>
      <c r="T41" s="697" t="s">
        <v>14</v>
      </c>
      <c r="U41" s="698">
        <f t="shared" si="11"/>
        <v>100</v>
      </c>
      <c r="V41" s="697" t="s">
        <v>14</v>
      </c>
      <c r="W41" s="698">
        <f t="shared" si="12"/>
        <v>100</v>
      </c>
      <c r="X41" s="699"/>
      <c r="Y41" s="3723"/>
      <c r="Z41" s="52" t="str">
        <f t="shared" si="13"/>
        <v>宗地开发程度</v>
      </c>
      <c r="AA41" s="700">
        <f t="shared" si="3"/>
        <v>1</v>
      </c>
      <c r="AB41" s="700">
        <f t="shared" si="4"/>
        <v>1</v>
      </c>
      <c r="AC41" s="700">
        <f t="shared" si="5"/>
        <v>1</v>
      </c>
    </row>
    <row r="42" spans="1:29" ht="15">
      <c r="A42" s="420"/>
      <c r="B42" s="372" t="s">
        <v>1878</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723" t="s">
        <v>1696</v>
      </c>
      <c r="Q42" s="1348" t="str">
        <f t="shared" si="14"/>
        <v>工程地质条件</v>
      </c>
      <c r="R42" s="701" t="s">
        <v>14</v>
      </c>
      <c r="S42" s="702">
        <f t="shared" si="10"/>
        <v>100</v>
      </c>
      <c r="T42" s="701" t="s">
        <v>14</v>
      </c>
      <c r="U42" s="702">
        <f t="shared" si="11"/>
        <v>100</v>
      </c>
      <c r="V42" s="701" t="s">
        <v>14</v>
      </c>
      <c r="W42" s="702">
        <f t="shared" si="12"/>
        <v>100</v>
      </c>
      <c r="X42" s="1351"/>
      <c r="Y42" s="3723" t="s">
        <v>1696</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723"/>
      <c r="Q43" s="1348">
        <f t="shared" si="14"/>
        <v>111</v>
      </c>
      <c r="R43" s="701" t="s">
        <v>14</v>
      </c>
      <c r="S43" s="702">
        <f t="shared" si="10"/>
        <v>100</v>
      </c>
      <c r="T43" s="701" t="s">
        <v>14</v>
      </c>
      <c r="U43" s="702">
        <f t="shared" si="11"/>
        <v>100</v>
      </c>
      <c r="V43" s="701" t="s">
        <v>14</v>
      </c>
      <c r="W43" s="702">
        <f t="shared" si="12"/>
        <v>100</v>
      </c>
      <c r="X43" s="1351"/>
      <c r="Y43" s="3723"/>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723"/>
      <c r="Q44" s="1348">
        <f t="shared" si="14"/>
        <v>111</v>
      </c>
      <c r="R44" s="701" t="s">
        <v>14</v>
      </c>
      <c r="S44" s="702">
        <f t="shared" si="10"/>
        <v>100</v>
      </c>
      <c r="T44" s="701" t="s">
        <v>14</v>
      </c>
      <c r="U44" s="702">
        <f t="shared" si="11"/>
        <v>100</v>
      </c>
      <c r="V44" s="701" t="s">
        <v>14</v>
      </c>
      <c r="W44" s="702">
        <f t="shared" si="12"/>
        <v>100</v>
      </c>
      <c r="X44" s="1351"/>
      <c r="Y44" s="3723"/>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723"/>
      <c r="Q45" s="1348">
        <f t="shared" si="14"/>
        <v>111</v>
      </c>
      <c r="R45" s="704" t="s">
        <v>14</v>
      </c>
      <c r="S45" s="705">
        <f t="shared" si="10"/>
        <v>100</v>
      </c>
      <c r="T45" s="704" t="s">
        <v>14</v>
      </c>
      <c r="U45" s="705">
        <f t="shared" si="11"/>
        <v>100</v>
      </c>
      <c r="V45" s="704" t="s">
        <v>14</v>
      </c>
      <c r="W45" s="705">
        <f t="shared" si="12"/>
        <v>100</v>
      </c>
      <c r="X45" s="706"/>
      <c r="Y45" s="3723"/>
      <c r="Z45" s="707">
        <f t="shared" si="13"/>
        <v>111</v>
      </c>
      <c r="AA45" s="1349">
        <f t="shared" si="3"/>
        <v>1</v>
      </c>
      <c r="AB45" s="1349">
        <f t="shared" si="4"/>
        <v>1</v>
      </c>
      <c r="AC45" s="1349">
        <f t="shared" si="5"/>
        <v>1</v>
      </c>
    </row>
    <row r="46" spans="1:29" ht="15">
      <c r="A46" s="427" t="s">
        <v>1844</v>
      </c>
      <c r="B46" s="1978" t="s">
        <v>1879</v>
      </c>
      <c r="C46" s="627" t="s">
        <v>0</v>
      </c>
      <c r="D46" s="429"/>
      <c r="E46" s="430"/>
      <c r="F46" s="431"/>
      <c r="G46" s="432"/>
      <c r="H46" s="433"/>
      <c r="I46" s="430"/>
      <c r="J46" s="433"/>
      <c r="K46" s="710"/>
      <c r="L46" s="2720"/>
      <c r="M46" s="2721"/>
      <c r="N46" s="2712"/>
      <c r="O46" s="2721"/>
      <c r="P46" s="3705" t="str">
        <f>A46</f>
        <v>成交单价</v>
      </c>
      <c r="Q46" s="3705"/>
      <c r="R46" s="3718">
        <f>E46</f>
        <v>0</v>
      </c>
      <c r="S46" s="3718"/>
      <c r="T46" s="3718">
        <f>G46</f>
        <v>0</v>
      </c>
      <c r="U46" s="3718"/>
      <c r="V46" s="3718">
        <f>I46</f>
        <v>0</v>
      </c>
      <c r="W46" s="3718"/>
      <c r="X46" s="686"/>
      <c r="Y46" s="708"/>
      <c r="Z46" s="686"/>
      <c r="AA46" s="686"/>
      <c r="AB46" s="686"/>
      <c r="AC46" s="686"/>
    </row>
    <row r="47" spans="1:29" ht="15.75" thickBot="1">
      <c r="A47" s="434" t="s">
        <v>1793</v>
      </c>
      <c r="B47" s="628"/>
      <c r="C47" s="437" t="e">
        <f>R48</f>
        <v>#DIV/0!</v>
      </c>
      <c r="D47" s="2313" t="s">
        <v>2138</v>
      </c>
      <c r="E47" s="437" t="e">
        <f>R47</f>
        <v>#DIV/0!</v>
      </c>
      <c r="F47" s="2314"/>
      <c r="G47" s="436" t="e">
        <f>T47</f>
        <v>#DIV/0!</v>
      </c>
      <c r="H47" s="2314"/>
      <c r="I47" s="437" t="e">
        <f>V47</f>
        <v>#DIV/0!</v>
      </c>
      <c r="J47" s="2314"/>
      <c r="K47" s="2316">
        <f>F47+H47+J47</f>
        <v>0</v>
      </c>
      <c r="L47" s="2720"/>
      <c r="M47" s="2721"/>
      <c r="N47" s="2721"/>
      <c r="O47" s="2721"/>
      <c r="P47" s="3705" t="str">
        <f>A47</f>
        <v>比较价值（元/平方米）</v>
      </c>
      <c r="Q47" s="3705"/>
      <c r="R47" s="3776" t="e">
        <f>ROUND(PRODUCT(R46,AA7:AA45),0)</f>
        <v>#DIV/0!</v>
      </c>
      <c r="S47" s="3776"/>
      <c r="T47" s="3776" t="e">
        <f>ROUND(PRODUCT(T46,AB7:AB45),0)</f>
        <v>#DIV/0!</v>
      </c>
      <c r="U47" s="3776"/>
      <c r="V47" s="3776" t="e">
        <f>ROUND(PRODUCT(V46,AC7:AC45),0)</f>
        <v>#DIV/0!</v>
      </c>
      <c r="W47" s="3776"/>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20"/>
      <c r="M48" s="2721"/>
      <c r="N48" s="2721"/>
      <c r="O48" s="2721"/>
      <c r="P48" s="3726" t="str">
        <f>A48</f>
        <v>估价对象XX用房的比较价值（楼面单价，元/平方米）</v>
      </c>
      <c r="Q48" s="3727"/>
      <c r="R48" s="3777" t="e">
        <f>ROUND(IF(D47="简单平均",AVERAGE(R47:W47),R47*F47+T47*H47+V47*J47),0)</f>
        <v>#DIV/0!</v>
      </c>
      <c r="S48" s="3777"/>
      <c r="T48" s="3777"/>
      <c r="U48" s="3777"/>
      <c r="V48" s="3777"/>
      <c r="W48" s="3777"/>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1881</v>
      </c>
      <c r="B55" s="630" t="s">
        <v>1882</v>
      </c>
      <c r="C55" s="1979" t="s">
        <v>1883</v>
      </c>
      <c r="D55" s="1980" t="s">
        <v>1884</v>
      </c>
      <c r="E55" s="631" t="s">
        <v>1885</v>
      </c>
      <c r="F55" s="886" t="s">
        <v>1886</v>
      </c>
      <c r="G55" s="3706" t="s">
        <v>1887</v>
      </c>
      <c r="H55" s="3778"/>
      <c r="I55" s="132"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1890</v>
      </c>
      <c r="B56" s="634" t="e">
        <f>C48</f>
        <v>#DIV/0!</v>
      </c>
      <c r="C56" s="635">
        <v>1</v>
      </c>
      <c r="D56" s="940">
        <v>1</v>
      </c>
      <c r="E56" s="635">
        <f>'数据-汇总表'!E8+'数据-汇总表'!E9</f>
        <v>309.42</v>
      </c>
      <c r="F56" s="882" t="e">
        <f t="shared" ref="F56:F64" si="15">ROUND(B56*E56/10000,0)</f>
        <v>#DIV/0!</v>
      </c>
      <c r="G56" s="3754"/>
      <c r="H56" s="3705"/>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1891</v>
      </c>
      <c r="B57" s="215" t="e">
        <f>ROUND($C$48*C57*D57,0)</f>
        <v>#DIV/0!</v>
      </c>
      <c r="C57" s="168">
        <f t="shared" ref="C57:C64" si="16">IF($C$55="北京市系数",I57,J57)</f>
        <v>0</v>
      </c>
      <c r="D57" s="941">
        <v>0.25</v>
      </c>
      <c r="E57" s="639"/>
      <c r="F57" s="882" t="e">
        <f t="shared" si="15"/>
        <v>#DIV/0!</v>
      </c>
      <c r="G57" s="3002" t="s">
        <v>1892</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1893</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1894</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1895</v>
      </c>
      <c r="B60" s="215" t="e">
        <f t="shared" si="17"/>
        <v>#DIV/0!</v>
      </c>
      <c r="C60" s="168">
        <f t="shared" si="16"/>
        <v>0</v>
      </c>
      <c r="D60" s="941">
        <v>0.25</v>
      </c>
      <c r="E60" s="214">
        <f>'数据-汇总表'!E11</f>
        <v>0</v>
      </c>
      <c r="F60" s="882" t="e">
        <f t="shared" si="15"/>
        <v>#DIV/0!</v>
      </c>
      <c r="G60" s="1983" t="s">
        <v>1896</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1897</v>
      </c>
      <c r="B61" s="215" t="e">
        <f t="shared" si="17"/>
        <v>#DIV/0!</v>
      </c>
      <c r="C61" s="168">
        <f t="shared" si="16"/>
        <v>0</v>
      </c>
      <c r="D61" s="941">
        <v>0.25</v>
      </c>
      <c r="E61" s="214">
        <f>'数据-汇总表'!E12</f>
        <v>0</v>
      </c>
      <c r="F61" s="882" t="e">
        <f t="shared" si="15"/>
        <v>#DIV/0!</v>
      </c>
      <c r="G61" s="888" t="s">
        <v>1898</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1899</v>
      </c>
      <c r="B62" s="215" t="e">
        <f t="shared" si="17"/>
        <v>#DIV/0!</v>
      </c>
      <c r="C62" s="168">
        <f t="shared" si="16"/>
        <v>0</v>
      </c>
      <c r="D62" s="941">
        <v>0.25</v>
      </c>
      <c r="E62" s="214">
        <f>'数据-汇总表'!E13</f>
        <v>0</v>
      </c>
      <c r="F62" s="882" t="e">
        <f t="shared" si="15"/>
        <v>#DIV/0!</v>
      </c>
      <c r="G62" s="888" t="s">
        <v>1900</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1901</v>
      </c>
      <c r="B63" s="215" t="e">
        <f t="shared" si="17"/>
        <v>#DIV/0!</v>
      </c>
      <c r="C63" s="168">
        <f t="shared" si="16"/>
        <v>0</v>
      </c>
      <c r="D63" s="941">
        <v>0.25</v>
      </c>
      <c r="E63" s="214">
        <f>'数据-汇总表'!E14</f>
        <v>0</v>
      </c>
      <c r="F63" s="882" t="e">
        <f t="shared" si="15"/>
        <v>#DIV/0!</v>
      </c>
      <c r="G63" s="1983" t="s">
        <v>1892</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1902</v>
      </c>
      <c r="B64" s="215" t="e">
        <f t="shared" si="17"/>
        <v>#DIV/0!</v>
      </c>
      <c r="C64" s="168">
        <f t="shared" si="16"/>
        <v>0</v>
      </c>
      <c r="D64" s="941">
        <v>0.25</v>
      </c>
      <c r="E64" s="214">
        <f>'数据-汇总表'!E15</f>
        <v>0</v>
      </c>
      <c r="F64" s="882" t="e">
        <f t="shared" si="15"/>
        <v>#DIV/0!</v>
      </c>
      <c r="G64" s="1984" t="s">
        <v>1896</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1903</v>
      </c>
      <c r="B65" s="641" t="s">
        <v>22</v>
      </c>
      <c r="C65" s="641" t="s">
        <v>23</v>
      </c>
      <c r="D65" s="641" t="s">
        <v>392</v>
      </c>
      <c r="E65" s="641">
        <f>IF(B46="楼面地价",SUM(E56:E64),'数据-汇总表'!D3)</f>
        <v>309.42</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1798</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1904</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1716</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1681</v>
      </c>
      <c r="B72" s="456"/>
      <c r="C72" s="468" t="s">
        <v>1776</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1719</v>
      </c>
      <c r="B74" s="474" t="s">
        <v>1685</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1688</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1690</v>
      </c>
      <c r="B87" s="474" t="s">
        <v>1720</v>
      </c>
      <c r="C87" s="519" t="s">
        <v>1721</v>
      </c>
      <c r="D87" s="519" t="s">
        <v>1722</v>
      </c>
      <c r="E87" s="519" t="s">
        <v>1723</v>
      </c>
      <c r="F87" s="519" t="s">
        <v>1724</v>
      </c>
      <c r="G87" s="519" t="s">
        <v>1725</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1906</v>
      </c>
      <c r="C89" s="524" t="s">
        <v>1721</v>
      </c>
      <c r="D89" s="524" t="s">
        <v>1722</v>
      </c>
      <c r="E89" s="524" t="s">
        <v>1723</v>
      </c>
      <c r="F89" s="524" t="s">
        <v>1724</v>
      </c>
      <c r="G89" s="524" t="s">
        <v>1725</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1821</v>
      </c>
      <c r="C91" s="524" t="s">
        <v>1721</v>
      </c>
      <c r="D91" s="524" t="s">
        <v>1722</v>
      </c>
      <c r="E91" s="524" t="s">
        <v>1723</v>
      </c>
      <c r="F91" s="524" t="s">
        <v>1724</v>
      </c>
      <c r="G91" s="524" t="s">
        <v>1725</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1726</v>
      </c>
      <c r="C93" s="524" t="s">
        <v>1721</v>
      </c>
      <c r="D93" s="524" t="s">
        <v>1722</v>
      </c>
      <c r="E93" s="524" t="s">
        <v>1723</v>
      </c>
      <c r="F93" s="524" t="s">
        <v>1724</v>
      </c>
      <c r="G93" s="524" t="s">
        <v>1725</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1815</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1873</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1914</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1915</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1916</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1917</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1769</v>
      </c>
      <c r="B4" s="353"/>
      <c r="C4" s="3706" t="s">
        <v>1770</v>
      </c>
      <c r="D4" s="3707"/>
      <c r="E4" s="3708" t="s">
        <v>1771</v>
      </c>
      <c r="F4" s="3709"/>
      <c r="G4" s="3706" t="s">
        <v>1772</v>
      </c>
      <c r="H4" s="3707"/>
      <c r="I4" s="3706" t="s">
        <v>1773</v>
      </c>
      <c r="J4" s="3707"/>
      <c r="K4" s="556" t="s">
        <v>1774</v>
      </c>
      <c r="L4" s="2711"/>
      <c r="M4" s="2712"/>
      <c r="N4" s="2712"/>
      <c r="O4" s="2712"/>
      <c r="P4" s="3710" t="s">
        <v>1775</v>
      </c>
      <c r="Q4" s="3711"/>
      <c r="R4" s="3695" t="s">
        <v>1771</v>
      </c>
      <c r="S4" s="3696"/>
      <c r="T4" s="3695" t="s">
        <v>1772</v>
      </c>
      <c r="U4" s="3696"/>
      <c r="V4" s="3718" t="s">
        <v>1773</v>
      </c>
      <c r="W4" s="3718"/>
      <c r="X4" s="1351"/>
      <c r="Y4" s="3695" t="s">
        <v>1775</v>
      </c>
      <c r="Z4" s="3696"/>
      <c r="AA4" s="3690" t="s">
        <v>1771</v>
      </c>
      <c r="AB4" s="3691" t="s">
        <v>1772</v>
      </c>
      <c r="AC4" s="3690" t="s">
        <v>1773</v>
      </c>
    </row>
    <row r="5" spans="1:29" ht="15">
      <c r="A5" s="355"/>
      <c r="B5" s="356"/>
      <c r="C5" s="3752" t="s">
        <v>1673</v>
      </c>
      <c r="D5" s="3753"/>
      <c r="E5" s="3750" t="s">
        <v>1674</v>
      </c>
      <c r="F5" s="3751"/>
      <c r="G5" s="3752" t="s">
        <v>1675</v>
      </c>
      <c r="H5" s="3753"/>
      <c r="I5" s="3752" t="s">
        <v>1676</v>
      </c>
      <c r="J5" s="3753"/>
      <c r="K5" s="556"/>
      <c r="L5" s="2711"/>
      <c r="M5" s="2712"/>
      <c r="N5" s="2712"/>
      <c r="O5" s="2712"/>
      <c r="P5" s="3712"/>
      <c r="Q5" s="3713"/>
      <c r="R5" s="3697"/>
      <c r="S5" s="3698"/>
      <c r="T5" s="3697"/>
      <c r="U5" s="3698"/>
      <c r="V5" s="3718"/>
      <c r="W5" s="3718"/>
      <c r="X5" s="1351"/>
      <c r="Y5" s="3697"/>
      <c r="Z5" s="3698"/>
      <c r="AA5" s="3691"/>
      <c r="AB5" s="3691"/>
      <c r="AC5" s="3691"/>
    </row>
    <row r="6" spans="1:29" ht="15.75" thickBot="1">
      <c r="A6" s="357"/>
      <c r="B6" s="358"/>
      <c r="C6" s="3779" t="s">
        <v>1919</v>
      </c>
      <c r="D6" s="3780"/>
      <c r="E6" s="3781" t="s">
        <v>1919</v>
      </c>
      <c r="F6" s="3782"/>
      <c r="G6" s="3779" t="s">
        <v>1919</v>
      </c>
      <c r="H6" s="3780"/>
      <c r="I6" s="3779" t="s">
        <v>1919</v>
      </c>
      <c r="J6" s="3780"/>
      <c r="K6" s="556" t="s">
        <v>1678</v>
      </c>
      <c r="L6" s="2711"/>
      <c r="M6" s="2712"/>
      <c r="N6" s="2712"/>
      <c r="O6" s="2712"/>
      <c r="P6" s="3714"/>
      <c r="Q6" s="3715"/>
      <c r="R6" s="3697"/>
      <c r="S6" s="3698"/>
      <c r="T6" s="3716"/>
      <c r="U6" s="3717"/>
      <c r="V6" s="3718"/>
      <c r="W6" s="3718"/>
      <c r="X6" s="1351"/>
      <c r="Y6" s="3716"/>
      <c r="Z6" s="3717"/>
      <c r="AA6" s="3692"/>
      <c r="AB6" s="3692"/>
      <c r="AC6" s="3692"/>
    </row>
    <row r="7" spans="1:29" s="108" customFormat="1" ht="15.75" thickBot="1">
      <c r="A7" s="359" t="s">
        <v>1679</v>
      </c>
      <c r="B7" s="360"/>
      <c r="C7" s="361">
        <f>'数据-取费表'!B2</f>
        <v>45888</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693" t="s">
        <v>1680</v>
      </c>
      <c r="Q7" s="3719"/>
      <c r="R7" s="697" t="s">
        <v>14</v>
      </c>
      <c r="S7" s="698">
        <f t="shared" ref="S7:S15" si="0">F7</f>
        <v>0</v>
      </c>
      <c r="T7" s="697" t="s">
        <v>14</v>
      </c>
      <c r="U7" s="698">
        <f t="shared" ref="U7:U15" si="1">H7</f>
        <v>0</v>
      </c>
      <c r="V7" s="697" t="s">
        <v>14</v>
      </c>
      <c r="W7" s="698">
        <f t="shared" ref="W7:W15" si="2">J7</f>
        <v>0</v>
      </c>
      <c r="X7" s="699"/>
      <c r="Y7" s="3693" t="s">
        <v>1680</v>
      </c>
      <c r="Z7" s="369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3"/>
      <c r="M8" s="2714"/>
      <c r="N8" s="2714"/>
      <c r="O8" s="2714"/>
      <c r="P8" s="3693" t="s">
        <v>1683</v>
      </c>
      <c r="Q8" s="3694"/>
      <c r="R8" s="697" t="s">
        <v>14</v>
      </c>
      <c r="S8" s="698">
        <f t="shared" si="0"/>
        <v>0</v>
      </c>
      <c r="T8" s="697" t="s">
        <v>14</v>
      </c>
      <c r="U8" s="698">
        <f t="shared" si="1"/>
        <v>0</v>
      </c>
      <c r="V8" s="697" t="s">
        <v>14</v>
      </c>
      <c r="W8" s="698">
        <f t="shared" si="2"/>
        <v>0</v>
      </c>
      <c r="X8" s="699"/>
      <c r="Y8" s="3693" t="s">
        <v>1683</v>
      </c>
      <c r="Z8" s="3694"/>
      <c r="AA8" s="700" t="e">
        <f t="shared" ref="AA8:AA40" si="3">D8/F8</f>
        <v>#DIV/0!</v>
      </c>
      <c r="AB8" s="700" t="e">
        <f t="shared" ref="AB8:AB40" si="4">D8/H8</f>
        <v>#DIV/0!</v>
      </c>
      <c r="AC8" s="700" t="e">
        <f t="shared" ref="AC8:AC40" si="5">D8/J8</f>
        <v>#DIV/0!</v>
      </c>
    </row>
    <row r="9" spans="1:29" s="108" customFormat="1">
      <c r="A9" s="366" t="s">
        <v>1684</v>
      </c>
      <c r="B9" s="63" t="s">
        <v>1685</v>
      </c>
      <c r="C9" s="1973"/>
      <c r="D9" s="123">
        <v>100</v>
      </c>
      <c r="E9" s="1973"/>
      <c r="F9" s="123">
        <f>SUMIF(70:70,E9,71:71)-SUMIF(70:70,C9,71:71)+100</f>
        <v>100</v>
      </c>
      <c r="G9" s="1973"/>
      <c r="H9" s="123">
        <f>SUMIF(70:70,G9,71:71)-SUMIF(70:70,C9,71:71)+100</f>
        <v>100</v>
      </c>
      <c r="I9" s="1973"/>
      <c r="J9" s="123">
        <f>SUMIF(70:70,I9,71:71)-SUMIF(70:70,C9,71:71)+100</f>
        <v>100</v>
      </c>
      <c r="K9" s="557"/>
      <c r="L9" s="2713"/>
      <c r="M9" s="2714"/>
      <c r="N9" s="2714"/>
      <c r="O9" s="2768"/>
      <c r="P9" s="3705" t="s">
        <v>1686</v>
      </c>
      <c r="Q9" s="1339" t="str">
        <f t="shared" ref="Q9:Q15" si="6">B9</f>
        <v>用途</v>
      </c>
      <c r="R9" s="697" t="s">
        <v>14</v>
      </c>
      <c r="S9" s="698">
        <f t="shared" si="0"/>
        <v>100</v>
      </c>
      <c r="T9" s="697" t="s">
        <v>14</v>
      </c>
      <c r="U9" s="698">
        <f t="shared" si="1"/>
        <v>100</v>
      </c>
      <c r="V9" s="697" t="s">
        <v>14</v>
      </c>
      <c r="W9" s="698">
        <f t="shared" si="2"/>
        <v>100</v>
      </c>
      <c r="X9" s="699"/>
      <c r="Y9" s="3658" t="s">
        <v>1687</v>
      </c>
      <c r="Z9" s="52"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125</v>
      </c>
      <c r="G10" s="380"/>
      <c r="H10" s="124">
        <f>ROUND(100/'数据-取费表'!G16,0)</f>
        <v>125</v>
      </c>
      <c r="I10" s="380"/>
      <c r="J10" s="124">
        <f>ROUND(100/'数据-取费表'!G16,0)</f>
        <v>125</v>
      </c>
      <c r="K10" s="617"/>
      <c r="L10" s="2715"/>
      <c r="M10" s="2716"/>
      <c r="N10" s="2716"/>
      <c r="O10" s="2769"/>
      <c r="P10" s="3705"/>
      <c r="Q10" s="1339" t="str">
        <f t="shared" si="6"/>
        <v>土地使用年限（年）</v>
      </c>
      <c r="R10" s="697" t="s">
        <v>14</v>
      </c>
      <c r="S10" s="698">
        <f t="shared" si="0"/>
        <v>125</v>
      </c>
      <c r="T10" s="697" t="s">
        <v>14</v>
      </c>
      <c r="U10" s="698">
        <f t="shared" si="1"/>
        <v>125</v>
      </c>
      <c r="V10" s="697" t="s">
        <v>14</v>
      </c>
      <c r="W10" s="698">
        <f t="shared" si="2"/>
        <v>125</v>
      </c>
      <c r="X10" s="699"/>
      <c r="Y10" s="3658"/>
      <c r="Z10" s="52" t="str">
        <f t="shared" si="7"/>
        <v>土地使用年限（年）</v>
      </c>
      <c r="AA10" s="700">
        <f t="shared" si="3"/>
        <v>0.8</v>
      </c>
      <c r="AB10" s="700">
        <f t="shared" si="4"/>
        <v>0.8</v>
      </c>
      <c r="AC10" s="700">
        <f t="shared" si="5"/>
        <v>0.8</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7"/>
      <c r="M11" s="2712"/>
      <c r="N11" s="2712"/>
      <c r="O11" s="2770"/>
      <c r="P11" s="3705"/>
      <c r="Q11" s="1339" t="str">
        <f t="shared" si="6"/>
        <v>容积率</v>
      </c>
      <c r="R11" s="697" t="s">
        <v>14</v>
      </c>
      <c r="S11" s="698" t="e">
        <f t="shared" si="0"/>
        <v>#N/A</v>
      </c>
      <c r="T11" s="697" t="s">
        <v>14</v>
      </c>
      <c r="U11" s="698" t="e">
        <f t="shared" si="1"/>
        <v>#N/A</v>
      </c>
      <c r="V11" s="697" t="s">
        <v>14</v>
      </c>
      <c r="W11" s="698" t="e">
        <f t="shared" si="2"/>
        <v>#N/A</v>
      </c>
      <c r="X11" s="699"/>
      <c r="Y11" s="3658"/>
      <c r="Z11" s="52" t="str">
        <f t="shared" si="7"/>
        <v>容积率</v>
      </c>
      <c r="AA11" s="700" t="e">
        <f t="shared" si="3"/>
        <v>#N/A</v>
      </c>
      <c r="AB11" s="700" t="e">
        <f t="shared" si="4"/>
        <v>#N/A</v>
      </c>
      <c r="AC11" s="700" t="e">
        <f t="shared" si="5"/>
        <v>#N/A</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705"/>
      <c r="Q12" s="1339">
        <f t="shared" si="6"/>
        <v>111</v>
      </c>
      <c r="R12" s="697" t="s">
        <v>14</v>
      </c>
      <c r="S12" s="698">
        <f t="shared" si="0"/>
        <v>100</v>
      </c>
      <c r="T12" s="697" t="s">
        <v>14</v>
      </c>
      <c r="U12" s="698">
        <f t="shared" si="1"/>
        <v>100</v>
      </c>
      <c r="V12" s="697" t="s">
        <v>14</v>
      </c>
      <c r="W12" s="698">
        <f t="shared" si="2"/>
        <v>100</v>
      </c>
      <c r="X12" s="699"/>
      <c r="Y12" s="3658"/>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705"/>
      <c r="Q13" s="1339">
        <f t="shared" si="6"/>
        <v>111</v>
      </c>
      <c r="R13" s="697" t="s">
        <v>14</v>
      </c>
      <c r="S13" s="698">
        <f t="shared" si="0"/>
        <v>100</v>
      </c>
      <c r="T13" s="697" t="s">
        <v>14</v>
      </c>
      <c r="U13" s="698">
        <f t="shared" si="1"/>
        <v>100</v>
      </c>
      <c r="V13" s="697" t="s">
        <v>14</v>
      </c>
      <c r="W13" s="698">
        <f t="shared" si="2"/>
        <v>100</v>
      </c>
      <c r="X13" s="699"/>
      <c r="Y13" s="3658"/>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705"/>
      <c r="Q14" s="1339">
        <f t="shared" si="6"/>
        <v>111</v>
      </c>
      <c r="R14" s="697" t="s">
        <v>14</v>
      </c>
      <c r="S14" s="698">
        <f t="shared" si="0"/>
        <v>100</v>
      </c>
      <c r="T14" s="697" t="s">
        <v>14</v>
      </c>
      <c r="U14" s="698">
        <f t="shared" si="1"/>
        <v>100</v>
      </c>
      <c r="V14" s="697" t="s">
        <v>14</v>
      </c>
      <c r="W14" s="698">
        <f t="shared" si="2"/>
        <v>100</v>
      </c>
      <c r="X14" s="699"/>
      <c r="Y14" s="3658"/>
      <c r="Z14" s="52">
        <f t="shared" si="7"/>
        <v>111</v>
      </c>
      <c r="AA14" s="700">
        <f t="shared" si="3"/>
        <v>1</v>
      </c>
      <c r="AB14" s="700">
        <f t="shared" si="4"/>
        <v>1</v>
      </c>
      <c r="AC14" s="700">
        <f t="shared" si="5"/>
        <v>1</v>
      </c>
    </row>
    <row r="15" spans="1:29" ht="57">
      <c r="A15" s="388" t="s">
        <v>1690</v>
      </c>
      <c r="B15" s="574" t="s">
        <v>1920</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8"/>
      <c r="M15" s="2712"/>
      <c r="N15" s="2712"/>
      <c r="O15" s="2770"/>
      <c r="P15" s="3720" t="s">
        <v>1691</v>
      </c>
      <c r="Q15" s="1348" t="str">
        <f t="shared" si="6"/>
        <v>产业集聚程度</v>
      </c>
      <c r="R15" s="701" t="s">
        <v>14</v>
      </c>
      <c r="S15" s="702">
        <f t="shared" si="0"/>
        <v>100</v>
      </c>
      <c r="T15" s="701" t="s">
        <v>14</v>
      </c>
      <c r="U15" s="702">
        <f t="shared" si="1"/>
        <v>100</v>
      </c>
      <c r="V15" s="701" t="s">
        <v>14</v>
      </c>
      <c r="W15" s="702">
        <f t="shared" si="2"/>
        <v>100</v>
      </c>
      <c r="X15" s="1351"/>
      <c r="Y15" s="3720" t="s">
        <v>1691</v>
      </c>
      <c r="Z15" s="1352" t="str">
        <f t="shared" si="7"/>
        <v>产业集聚程度</v>
      </c>
      <c r="AA15" s="1349">
        <f t="shared" si="3"/>
        <v>1</v>
      </c>
      <c r="AB15" s="1349">
        <f t="shared" si="4"/>
        <v>1</v>
      </c>
      <c r="AC15" s="1349">
        <f t="shared" si="5"/>
        <v>1</v>
      </c>
    </row>
    <row r="16" spans="1:29" ht="15">
      <c r="A16" s="376"/>
      <c r="B16" s="575"/>
      <c r="C16" s="395"/>
      <c r="D16" s="396"/>
      <c r="E16" s="1900"/>
      <c r="F16" s="396"/>
      <c r="G16" s="1900"/>
      <c r="H16" s="398"/>
      <c r="I16" s="1900"/>
      <c r="J16" s="396"/>
      <c r="K16" s="617"/>
      <c r="L16" s="2718"/>
      <c r="M16" s="2712"/>
      <c r="N16" s="2712"/>
      <c r="O16" s="2770"/>
      <c r="P16" s="3721"/>
      <c r="Q16" s="1348"/>
      <c r="R16" s="701"/>
      <c r="S16" s="702"/>
      <c r="T16" s="701"/>
      <c r="U16" s="702"/>
      <c r="V16" s="701"/>
      <c r="W16" s="702"/>
      <c r="X16" s="1351"/>
      <c r="Y16" s="3721"/>
      <c r="Z16" s="1352"/>
      <c r="AA16" s="1349">
        <v>1</v>
      </c>
      <c r="AB16" s="1349">
        <v>1</v>
      </c>
      <c r="AC16" s="1349">
        <v>1</v>
      </c>
    </row>
    <row r="17" spans="1:29" ht="85.5">
      <c r="A17" s="376"/>
      <c r="B17" s="576" t="s">
        <v>1833</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8"/>
      <c r="M17" s="2712"/>
      <c r="N17" s="2712"/>
      <c r="O17" s="2770"/>
      <c r="P17" s="3721"/>
      <c r="Q17" s="1348" t="str">
        <f>B17</f>
        <v>交通便捷度</v>
      </c>
      <c r="R17" s="701" t="s">
        <v>14</v>
      </c>
      <c r="S17" s="702">
        <f>F17</f>
        <v>100</v>
      </c>
      <c r="T17" s="701" t="s">
        <v>14</v>
      </c>
      <c r="U17" s="702">
        <f>H17</f>
        <v>100</v>
      </c>
      <c r="V17" s="701" t="s">
        <v>14</v>
      </c>
      <c r="W17" s="702">
        <f>J17</f>
        <v>100</v>
      </c>
      <c r="X17" s="1351"/>
      <c r="Y17" s="3721"/>
      <c r="Z17" s="1352" t="str">
        <f>Q17</f>
        <v>交通便捷度</v>
      </c>
      <c r="AA17" s="1349">
        <f t="shared" si="3"/>
        <v>1</v>
      </c>
      <c r="AB17" s="1349">
        <f t="shared" si="4"/>
        <v>1</v>
      </c>
      <c r="AC17" s="1349">
        <f t="shared" si="5"/>
        <v>1</v>
      </c>
    </row>
    <row r="18" spans="1:29" ht="15">
      <c r="A18" s="376"/>
      <c r="B18" s="577"/>
      <c r="C18" s="395"/>
      <c r="D18" s="396"/>
      <c r="E18" s="1894"/>
      <c r="F18" s="396"/>
      <c r="G18" s="1894"/>
      <c r="H18" s="396"/>
      <c r="I18" s="1893"/>
      <c r="J18" s="396"/>
      <c r="K18" s="617"/>
      <c r="L18" s="2718"/>
      <c r="M18" s="2712"/>
      <c r="N18" s="2712"/>
      <c r="O18" s="2770"/>
      <c r="P18" s="3721"/>
      <c r="Q18" s="1348"/>
      <c r="R18" s="701"/>
      <c r="S18" s="702"/>
      <c r="T18" s="701"/>
      <c r="U18" s="702"/>
      <c r="V18" s="701"/>
      <c r="W18" s="702"/>
      <c r="X18" s="1351"/>
      <c r="Y18" s="3721"/>
      <c r="Z18" s="1352"/>
      <c r="AA18" s="1349">
        <v>1</v>
      </c>
      <c r="AB18" s="1349">
        <v>1</v>
      </c>
      <c r="AC18" s="1349">
        <v>1</v>
      </c>
    </row>
    <row r="19" spans="1:29" ht="15">
      <c r="A19" s="376"/>
      <c r="B19" s="576" t="s">
        <v>1871</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8"/>
      <c r="M19" s="2712"/>
      <c r="N19" s="2712"/>
      <c r="O19" s="2770"/>
      <c r="P19" s="3721"/>
      <c r="Q19" s="1348" t="str">
        <f t="shared" ref="Q19:Q33" si="8">B19</f>
        <v>区域土地利用方向</v>
      </c>
      <c r="R19" s="701" t="s">
        <v>14</v>
      </c>
      <c r="S19" s="702">
        <f>F19</f>
        <v>100</v>
      </c>
      <c r="T19" s="701" t="s">
        <v>14</v>
      </c>
      <c r="U19" s="702">
        <f>H19</f>
        <v>100</v>
      </c>
      <c r="V19" s="701" t="s">
        <v>14</v>
      </c>
      <c r="W19" s="702">
        <f>J19</f>
        <v>100</v>
      </c>
      <c r="X19" s="1351"/>
      <c r="Y19" s="3721"/>
      <c r="Z19" s="1352" t="str">
        <f>Q19</f>
        <v>区域土地利用方向</v>
      </c>
      <c r="AA19" s="1349">
        <f t="shared" si="3"/>
        <v>1</v>
      </c>
      <c r="AB19" s="1349">
        <f t="shared" si="4"/>
        <v>1</v>
      </c>
      <c r="AC19" s="1349">
        <f t="shared" si="5"/>
        <v>1</v>
      </c>
    </row>
    <row r="20" spans="1:29" ht="15">
      <c r="A20" s="355"/>
      <c r="B20" s="577"/>
      <c r="C20" s="395"/>
      <c r="D20" s="396"/>
      <c r="E20" s="1894"/>
      <c r="F20" s="396"/>
      <c r="G20" s="1894"/>
      <c r="H20" s="396"/>
      <c r="I20" s="1894"/>
      <c r="J20" s="396"/>
      <c r="K20" s="736"/>
      <c r="L20" s="2718"/>
      <c r="M20" s="2712"/>
      <c r="N20" s="2712"/>
      <c r="O20" s="2770"/>
      <c r="P20" s="3721"/>
      <c r="Q20" s="1348"/>
      <c r="R20" s="701"/>
      <c r="S20" s="702"/>
      <c r="T20" s="701"/>
      <c r="U20" s="702"/>
      <c r="V20" s="701"/>
      <c r="W20" s="702"/>
      <c r="X20" s="1351"/>
      <c r="Y20" s="3721"/>
      <c r="Z20" s="1352"/>
      <c r="AA20" s="1349"/>
      <c r="AB20" s="1349"/>
      <c r="AC20" s="1349"/>
    </row>
    <row r="21" spans="1:29" ht="71.25">
      <c r="A21" s="355"/>
      <c r="B21" s="576" t="s">
        <v>1921</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8"/>
      <c r="M21" s="2712"/>
      <c r="N21" s="2712"/>
      <c r="O21" s="2770"/>
      <c r="P21" s="3721"/>
      <c r="Q21" s="1348" t="str">
        <f t="shared" si="8"/>
        <v>环境状况</v>
      </c>
      <c r="R21" s="701" t="s">
        <v>14</v>
      </c>
      <c r="S21" s="702">
        <f>F21</f>
        <v>100</v>
      </c>
      <c r="T21" s="701" t="s">
        <v>14</v>
      </c>
      <c r="U21" s="702">
        <f>H21</f>
        <v>100</v>
      </c>
      <c r="V21" s="701" t="s">
        <v>14</v>
      </c>
      <c r="W21" s="702">
        <f>J21</f>
        <v>100</v>
      </c>
      <c r="X21" s="1351"/>
      <c r="Y21" s="3721"/>
      <c r="Z21" s="1352" t="str">
        <f>Q21</f>
        <v>环境状况</v>
      </c>
      <c r="AA21" s="1349">
        <f t="shared" si="3"/>
        <v>1</v>
      </c>
      <c r="AB21" s="1349">
        <f t="shared" si="4"/>
        <v>1</v>
      </c>
      <c r="AC21" s="1349">
        <f t="shared" si="5"/>
        <v>1</v>
      </c>
    </row>
    <row r="22" spans="1:29" ht="15">
      <c r="A22" s="355"/>
      <c r="B22" s="577"/>
      <c r="C22" s="395"/>
      <c r="D22" s="396"/>
      <c r="E22" s="1900"/>
      <c r="F22" s="396"/>
      <c r="G22" s="1900"/>
      <c r="H22" s="396"/>
      <c r="I22" s="395"/>
      <c r="J22" s="396"/>
      <c r="K22" s="617"/>
      <c r="L22" s="2718"/>
      <c r="M22" s="2712"/>
      <c r="N22" s="2712"/>
      <c r="O22" s="2770"/>
      <c r="P22" s="3721"/>
      <c r="Q22" s="1348"/>
      <c r="R22" s="701"/>
      <c r="S22" s="702"/>
      <c r="T22" s="701"/>
      <c r="U22" s="702"/>
      <c r="V22" s="701"/>
      <c r="W22" s="702"/>
      <c r="X22" s="1351"/>
      <c r="Y22" s="3721"/>
      <c r="Z22" s="1352"/>
      <c r="AA22" s="1349">
        <v>1</v>
      </c>
      <c r="AB22" s="1349">
        <v>1</v>
      </c>
      <c r="AC22" s="1349">
        <v>1</v>
      </c>
    </row>
    <row r="23" spans="1:29" s="108" customFormat="1" ht="42.75">
      <c r="A23" s="594"/>
      <c r="B23" s="578" t="s">
        <v>1778</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3"/>
      <c r="M23" s="2714"/>
      <c r="N23" s="2714"/>
      <c r="O23" s="2768"/>
      <c r="P23" s="3721"/>
      <c r="Q23" s="1339" t="str">
        <f t="shared" si="8"/>
        <v>公共配套设施</v>
      </c>
      <c r="R23" s="697" t="s">
        <v>14</v>
      </c>
      <c r="S23" s="698">
        <f>F23</f>
        <v>100</v>
      </c>
      <c r="T23" s="697" t="s">
        <v>14</v>
      </c>
      <c r="U23" s="698">
        <f>H23</f>
        <v>100</v>
      </c>
      <c r="V23" s="697" t="s">
        <v>14</v>
      </c>
      <c r="W23" s="698">
        <f>J23</f>
        <v>100</v>
      </c>
      <c r="X23" s="699"/>
      <c r="Y23" s="3721"/>
      <c r="Z23" s="52" t="str">
        <f>Q23</f>
        <v>公共配套设施</v>
      </c>
      <c r="AA23" s="1349">
        <f>D23/F23</f>
        <v>1</v>
      </c>
      <c r="AB23" s="1349">
        <f>D23/H23</f>
        <v>1</v>
      </c>
      <c r="AC23" s="1349">
        <f>D23/J23</f>
        <v>1</v>
      </c>
    </row>
    <row r="24" spans="1:29" s="108" customFormat="1" ht="15">
      <c r="A24" s="594"/>
      <c r="B24" s="577"/>
      <c r="C24" s="1974"/>
      <c r="D24" s="396"/>
      <c r="E24" s="1900"/>
      <c r="F24" s="396"/>
      <c r="G24" s="1900"/>
      <c r="H24" s="396"/>
      <c r="I24" s="395"/>
      <c r="J24" s="396"/>
      <c r="K24" s="617"/>
      <c r="L24" s="2713"/>
      <c r="M24" s="2714"/>
      <c r="N24" s="2714"/>
      <c r="O24" s="2768"/>
      <c r="P24" s="3721"/>
      <c r="Q24" s="1339"/>
      <c r="R24" s="697"/>
      <c r="S24" s="698"/>
      <c r="T24" s="697"/>
      <c r="U24" s="698"/>
      <c r="V24" s="697"/>
      <c r="W24" s="698"/>
      <c r="X24" s="699"/>
      <c r="Y24" s="3721"/>
      <c r="Z24" s="52"/>
      <c r="AA24" s="700">
        <v>1</v>
      </c>
      <c r="AB24" s="700">
        <v>1</v>
      </c>
      <c r="AC24" s="700">
        <v>1</v>
      </c>
    </row>
    <row r="25" spans="1:29" s="108" customFormat="1" ht="28.5">
      <c r="A25" s="594"/>
      <c r="B25" s="578" t="s">
        <v>1779</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3"/>
      <c r="M25" s="2714"/>
      <c r="N25" s="2714"/>
      <c r="O25" s="2768"/>
      <c r="P25" s="3721"/>
      <c r="Q25" s="1339" t="str">
        <f t="shared" ref="Q25" si="9">B25</f>
        <v>基础设施水平</v>
      </c>
      <c r="R25" s="697" t="s">
        <v>14</v>
      </c>
      <c r="S25" s="698">
        <f>F25</f>
        <v>100</v>
      </c>
      <c r="T25" s="697" t="s">
        <v>14</v>
      </c>
      <c r="U25" s="698">
        <f>H25</f>
        <v>100</v>
      </c>
      <c r="V25" s="697" t="s">
        <v>14</v>
      </c>
      <c r="W25" s="698">
        <f>J25</f>
        <v>100</v>
      </c>
      <c r="X25" s="699"/>
      <c r="Y25" s="3721"/>
      <c r="Z25" s="52" t="str">
        <f>Q25</f>
        <v>基础设施水平</v>
      </c>
      <c r="AA25" s="1349">
        <f>D25/F25</f>
        <v>1</v>
      </c>
      <c r="AB25" s="1349">
        <f>D25/H25</f>
        <v>1</v>
      </c>
      <c r="AC25" s="1349">
        <f>D25/J25</f>
        <v>1</v>
      </c>
    </row>
    <row r="26" spans="1:29" s="108" customFormat="1" ht="15">
      <c r="A26" s="594"/>
      <c r="B26" s="577"/>
      <c r="C26" s="1974"/>
      <c r="D26" s="396"/>
      <c r="E26" s="1975"/>
      <c r="F26" s="396"/>
      <c r="G26" s="1975"/>
      <c r="H26" s="396"/>
      <c r="I26" s="1975"/>
      <c r="J26" s="396"/>
      <c r="K26" s="617"/>
      <c r="L26" s="2713"/>
      <c r="M26" s="2714"/>
      <c r="N26" s="2714"/>
      <c r="O26" s="2768"/>
      <c r="P26" s="3721"/>
      <c r="Q26" s="1339"/>
      <c r="R26" s="697"/>
      <c r="S26" s="698"/>
      <c r="T26" s="697"/>
      <c r="U26" s="698"/>
      <c r="V26" s="697"/>
      <c r="W26" s="698"/>
      <c r="X26" s="699"/>
      <c r="Y26" s="3721"/>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721"/>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1"/>
      <c r="Z27" s="1352" t="str">
        <f t="shared" ref="Z27:Z40" si="13">Q27</f>
        <v>临街状况</v>
      </c>
      <c r="AA27" s="1349">
        <f t="shared" si="3"/>
        <v>1</v>
      </c>
      <c r="AB27" s="1349">
        <f t="shared" si="4"/>
        <v>1</v>
      </c>
      <c r="AC27" s="1349">
        <f t="shared" si="5"/>
        <v>1</v>
      </c>
    </row>
    <row r="28" spans="1:29" ht="27">
      <c r="A28" s="376"/>
      <c r="B28" s="578" t="s">
        <v>1815</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721"/>
      <c r="Q28" s="1348" t="str">
        <f t="shared" si="8"/>
        <v>毗邻道路的类型与等级</v>
      </c>
      <c r="R28" s="701" t="s">
        <v>14</v>
      </c>
      <c r="S28" s="702">
        <f t="shared" si="10"/>
        <v>100</v>
      </c>
      <c r="T28" s="701" t="s">
        <v>14</v>
      </c>
      <c r="U28" s="702">
        <f t="shared" si="11"/>
        <v>100</v>
      </c>
      <c r="V28" s="701" t="s">
        <v>14</v>
      </c>
      <c r="W28" s="702">
        <f t="shared" si="12"/>
        <v>100</v>
      </c>
      <c r="X28" s="1351"/>
      <c r="Y28" s="3721"/>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721"/>
      <c r="Q29" s="1348"/>
      <c r="R29" s="701"/>
      <c r="S29" s="702"/>
      <c r="T29" s="701"/>
      <c r="U29" s="702"/>
      <c r="V29" s="701"/>
      <c r="W29" s="702"/>
      <c r="X29" s="1351"/>
      <c r="Y29" s="3721"/>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721"/>
      <c r="Q30" s="1348" t="str">
        <f t="shared" si="8"/>
        <v>土地级别</v>
      </c>
      <c r="R30" s="701" t="s">
        <v>14</v>
      </c>
      <c r="S30" s="702">
        <f t="shared" si="10"/>
        <v>100</v>
      </c>
      <c r="T30" s="701" t="s">
        <v>14</v>
      </c>
      <c r="U30" s="702">
        <f t="shared" si="11"/>
        <v>100</v>
      </c>
      <c r="V30" s="701" t="s">
        <v>14</v>
      </c>
      <c r="W30" s="702">
        <f t="shared" si="12"/>
        <v>100</v>
      </c>
      <c r="X30" s="1351"/>
      <c r="Y30" s="3721"/>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721"/>
      <c r="Q31" s="1348">
        <f t="shared" si="8"/>
        <v>111</v>
      </c>
      <c r="R31" s="701" t="s">
        <v>14</v>
      </c>
      <c r="S31" s="702">
        <f t="shared" si="10"/>
        <v>100</v>
      </c>
      <c r="T31" s="701" t="s">
        <v>14</v>
      </c>
      <c r="U31" s="702">
        <f t="shared" si="11"/>
        <v>100</v>
      </c>
      <c r="V31" s="701" t="s">
        <v>14</v>
      </c>
      <c r="W31" s="702">
        <f t="shared" si="12"/>
        <v>100</v>
      </c>
      <c r="X31" s="1351"/>
      <c r="Y31" s="3721"/>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722" t="s">
        <v>1696</v>
      </c>
      <c r="Q32" s="1348">
        <f t="shared" si="8"/>
        <v>111</v>
      </c>
      <c r="R32" s="701" t="s">
        <v>14</v>
      </c>
      <c r="S32" s="702">
        <f t="shared" si="10"/>
        <v>100</v>
      </c>
      <c r="T32" s="701" t="s">
        <v>14</v>
      </c>
      <c r="U32" s="702">
        <f t="shared" si="11"/>
        <v>100</v>
      </c>
      <c r="V32" s="701" t="s">
        <v>14</v>
      </c>
      <c r="W32" s="702">
        <f t="shared" si="12"/>
        <v>100</v>
      </c>
      <c r="X32" s="1351"/>
      <c r="Y32" s="3723" t="s">
        <v>1696</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723"/>
      <c r="Q33" s="1348">
        <f t="shared" si="8"/>
        <v>111</v>
      </c>
      <c r="R33" s="704" t="s">
        <v>14</v>
      </c>
      <c r="S33" s="705">
        <f t="shared" si="10"/>
        <v>100</v>
      </c>
      <c r="T33" s="704" t="s">
        <v>14</v>
      </c>
      <c r="U33" s="705">
        <f t="shared" si="11"/>
        <v>100</v>
      </c>
      <c r="V33" s="704" t="s">
        <v>14</v>
      </c>
      <c r="W33" s="705">
        <f t="shared" si="12"/>
        <v>100</v>
      </c>
      <c r="X33" s="706"/>
      <c r="Y33" s="3723"/>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8"/>
      <c r="M34" s="2712"/>
      <c r="N34" s="2712"/>
      <c r="O34" s="2770"/>
      <c r="P34" s="3723"/>
      <c r="Q34" s="1348" t="str">
        <f>B34</f>
        <v>宗地面积</v>
      </c>
      <c r="R34" s="701" t="s">
        <v>14</v>
      </c>
      <c r="S34" s="702" t="e">
        <f t="shared" si="10"/>
        <v>#N/A</v>
      </c>
      <c r="T34" s="701" t="s">
        <v>14</v>
      </c>
      <c r="U34" s="702" t="e">
        <f t="shared" si="11"/>
        <v>#N/A</v>
      </c>
      <c r="V34" s="701" t="s">
        <v>14</v>
      </c>
      <c r="W34" s="702" t="e">
        <f t="shared" si="12"/>
        <v>#N/A</v>
      </c>
      <c r="X34" s="1351"/>
      <c r="Y34" s="3723"/>
      <c r="Z34" s="1352" t="str">
        <f t="shared" si="13"/>
        <v>宗地面积</v>
      </c>
      <c r="AA34" s="1349" t="e">
        <f t="shared" si="3"/>
        <v>#N/A</v>
      </c>
      <c r="AB34" s="1349" t="e">
        <f t="shared" si="4"/>
        <v>#N/A</v>
      </c>
      <c r="AC34" s="1349" t="e">
        <f t="shared" si="5"/>
        <v>#N/A</v>
      </c>
    </row>
    <row r="35" spans="1:31" ht="15">
      <c r="A35" s="420"/>
      <c r="B35" s="372" t="s">
        <v>1875</v>
      </c>
      <c r="C35" s="1902"/>
      <c r="D35" s="383">
        <v>100</v>
      </c>
      <c r="E35" s="1902"/>
      <c r="F35" s="383">
        <f>SUMIF(110:110,E35,111:111)-SUMIF(110:110,C35,111:111)+100</f>
        <v>100</v>
      </c>
      <c r="G35" s="1902"/>
      <c r="H35" s="383">
        <f>SUMIF(110:110,G35,111:111)-SUMIF(110:110,C35,111:111)+100</f>
        <v>100</v>
      </c>
      <c r="I35" s="1902"/>
      <c r="J35" s="383">
        <f>SUMIF(110:110,I35,111:111)-SUMIF(110:110,C35,111:111)+100</f>
        <v>100</v>
      </c>
      <c r="K35" s="558"/>
      <c r="L35" s="2718"/>
      <c r="M35" s="2712"/>
      <c r="N35" s="2712"/>
      <c r="O35" s="2770"/>
      <c r="P35" s="3723"/>
      <c r="Q35" s="1348" t="str">
        <f t="shared" ref="Q35:Q40" si="14">B35</f>
        <v>宗地形状</v>
      </c>
      <c r="R35" s="701" t="s">
        <v>14</v>
      </c>
      <c r="S35" s="702">
        <f t="shared" si="10"/>
        <v>100</v>
      </c>
      <c r="T35" s="701" t="s">
        <v>14</v>
      </c>
      <c r="U35" s="702">
        <f t="shared" si="11"/>
        <v>100</v>
      </c>
      <c r="V35" s="701" t="s">
        <v>14</v>
      </c>
      <c r="W35" s="702">
        <f t="shared" si="12"/>
        <v>100</v>
      </c>
      <c r="X35" s="1351"/>
      <c r="Y35" s="3723"/>
      <c r="Z35" s="1352" t="str">
        <f t="shared" si="13"/>
        <v>宗地形状</v>
      </c>
      <c r="AA35" s="1349">
        <f t="shared" si="3"/>
        <v>1</v>
      </c>
      <c r="AB35" s="1349">
        <f t="shared" si="4"/>
        <v>1</v>
      </c>
      <c r="AC35" s="1349">
        <f t="shared" si="5"/>
        <v>1</v>
      </c>
    </row>
    <row r="36" spans="1:31" s="108" customFormat="1" ht="15">
      <c r="A36" s="421"/>
      <c r="B36" s="372" t="s">
        <v>1877</v>
      </c>
      <c r="C36" s="1976"/>
      <c r="D36" s="124">
        <v>100</v>
      </c>
      <c r="E36" s="1976"/>
      <c r="F36" s="383">
        <f>SUMIF(112:112,E36,113:113)-SUMIF(112:112,C36,113:113)+100</f>
        <v>100</v>
      </c>
      <c r="G36" s="1976"/>
      <c r="H36" s="383">
        <f>SUMIF(112:112,G36,113:113)-SUMIF(112:112,C36,113:113)+100</f>
        <v>100</v>
      </c>
      <c r="I36" s="1976"/>
      <c r="J36" s="383">
        <f>SUMIF(112:112,I36,113:113)-SUMIF(112:112,C36,113:113)+100</f>
        <v>100</v>
      </c>
      <c r="K36" s="558"/>
      <c r="L36" s="2713"/>
      <c r="M36" s="2714"/>
      <c r="N36" s="2714"/>
      <c r="O36" s="2768"/>
      <c r="P36" s="3723"/>
      <c r="Q36" s="1348" t="str">
        <f t="shared" si="14"/>
        <v>宗地开发程度</v>
      </c>
      <c r="R36" s="697" t="s">
        <v>14</v>
      </c>
      <c r="S36" s="698">
        <f t="shared" si="10"/>
        <v>100</v>
      </c>
      <c r="T36" s="697" t="s">
        <v>14</v>
      </c>
      <c r="U36" s="698">
        <f t="shared" si="11"/>
        <v>100</v>
      </c>
      <c r="V36" s="697" t="s">
        <v>14</v>
      </c>
      <c r="W36" s="698">
        <f t="shared" si="12"/>
        <v>100</v>
      </c>
      <c r="X36" s="699"/>
      <c r="Y36" s="3723"/>
      <c r="Z36" s="52" t="str">
        <f t="shared" si="13"/>
        <v>宗地开发程度</v>
      </c>
      <c r="AA36" s="700">
        <f t="shared" si="3"/>
        <v>1</v>
      </c>
      <c r="AB36" s="700">
        <f t="shared" si="4"/>
        <v>1</v>
      </c>
      <c r="AC36" s="700">
        <f t="shared" si="5"/>
        <v>1</v>
      </c>
    </row>
    <row r="37" spans="1:31" ht="15">
      <c r="A37" s="420"/>
      <c r="B37" s="372" t="s">
        <v>1878</v>
      </c>
      <c r="C37" s="1902"/>
      <c r="D37" s="383">
        <v>100</v>
      </c>
      <c r="E37" s="1902"/>
      <c r="F37" s="383">
        <f>SUMIF(114:114,E37,115:115)-SUMIF(114:114,C37,115:115)+100</f>
        <v>100</v>
      </c>
      <c r="G37" s="1902"/>
      <c r="H37" s="383">
        <f>SUMIF(114:114,G37,115:115)-SUMIF(114:114,C37,115:115)+100</f>
        <v>100</v>
      </c>
      <c r="I37" s="1902"/>
      <c r="J37" s="383">
        <f>SUMIF(114:114,I37,115:115)-SUMIF(114:114,C37,115:115)+100</f>
        <v>100</v>
      </c>
      <c r="K37" s="558"/>
      <c r="L37" s="2718"/>
      <c r="M37" s="2712"/>
      <c r="N37" s="2712"/>
      <c r="O37" s="2770"/>
      <c r="P37" s="3723" t="s">
        <v>1696</v>
      </c>
      <c r="Q37" s="1348" t="str">
        <f t="shared" si="14"/>
        <v>工程地质条件</v>
      </c>
      <c r="R37" s="701" t="s">
        <v>14</v>
      </c>
      <c r="S37" s="702">
        <f t="shared" si="10"/>
        <v>100</v>
      </c>
      <c r="T37" s="701" t="s">
        <v>14</v>
      </c>
      <c r="U37" s="702">
        <f t="shared" si="11"/>
        <v>100</v>
      </c>
      <c r="V37" s="701" t="s">
        <v>14</v>
      </c>
      <c r="W37" s="702">
        <f t="shared" si="12"/>
        <v>100</v>
      </c>
      <c r="X37" s="1351"/>
      <c r="Y37" s="3723"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723"/>
      <c r="Q38" s="1348">
        <f t="shared" si="14"/>
        <v>111</v>
      </c>
      <c r="R38" s="701" t="s">
        <v>14</v>
      </c>
      <c r="S38" s="702">
        <f t="shared" si="10"/>
        <v>100</v>
      </c>
      <c r="T38" s="701" t="s">
        <v>14</v>
      </c>
      <c r="U38" s="702">
        <f t="shared" si="11"/>
        <v>100</v>
      </c>
      <c r="V38" s="701" t="s">
        <v>14</v>
      </c>
      <c r="W38" s="702">
        <f t="shared" si="12"/>
        <v>100</v>
      </c>
      <c r="X38" s="1351"/>
      <c r="Y38" s="3723"/>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723"/>
      <c r="Q39" s="1348">
        <f t="shared" si="14"/>
        <v>111</v>
      </c>
      <c r="R39" s="701" t="s">
        <v>14</v>
      </c>
      <c r="S39" s="702">
        <f t="shared" si="10"/>
        <v>100</v>
      </c>
      <c r="T39" s="701" t="s">
        <v>14</v>
      </c>
      <c r="U39" s="702">
        <f t="shared" si="11"/>
        <v>100</v>
      </c>
      <c r="V39" s="701" t="s">
        <v>14</v>
      </c>
      <c r="W39" s="702">
        <f t="shared" si="12"/>
        <v>100</v>
      </c>
      <c r="X39" s="1351"/>
      <c r="Y39" s="3723"/>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723"/>
      <c r="Q40" s="1348">
        <f t="shared" si="14"/>
        <v>111</v>
      </c>
      <c r="R40" s="704" t="s">
        <v>14</v>
      </c>
      <c r="S40" s="705">
        <f t="shared" si="10"/>
        <v>100</v>
      </c>
      <c r="T40" s="704" t="s">
        <v>14</v>
      </c>
      <c r="U40" s="705">
        <f t="shared" si="11"/>
        <v>100</v>
      </c>
      <c r="V40" s="704" t="s">
        <v>14</v>
      </c>
      <c r="W40" s="705">
        <f t="shared" si="12"/>
        <v>100</v>
      </c>
      <c r="X40" s="706"/>
      <c r="Y40" s="3723"/>
      <c r="Z40" s="707">
        <f t="shared" si="13"/>
        <v>111</v>
      </c>
      <c r="AA40" s="1349">
        <f t="shared" si="3"/>
        <v>1</v>
      </c>
      <c r="AB40" s="1349">
        <f t="shared" si="4"/>
        <v>1</v>
      </c>
      <c r="AC40" s="1349">
        <f t="shared" si="5"/>
        <v>1</v>
      </c>
    </row>
    <row r="41" spans="1:31" ht="15">
      <c r="A41" s="427" t="s">
        <v>1844</v>
      </c>
      <c r="B41" s="1978" t="s">
        <v>1922</v>
      </c>
      <c r="C41" s="627" t="s">
        <v>0</v>
      </c>
      <c r="D41" s="429"/>
      <c r="E41" s="430"/>
      <c r="F41" s="431"/>
      <c r="G41" s="432"/>
      <c r="H41" s="433"/>
      <c r="I41" s="430"/>
      <c r="J41" s="433"/>
      <c r="K41" s="710"/>
      <c r="L41" s="2720"/>
      <c r="M41" s="2712"/>
      <c r="N41" s="2712"/>
      <c r="O41" s="2721"/>
      <c r="P41" s="3705" t="str">
        <f>A41</f>
        <v>成交单价</v>
      </c>
      <c r="Q41" s="3705"/>
      <c r="R41" s="3718">
        <f>E41</f>
        <v>0</v>
      </c>
      <c r="S41" s="3718"/>
      <c r="T41" s="3718">
        <f>G41</f>
        <v>0</v>
      </c>
      <c r="U41" s="3718"/>
      <c r="V41" s="3718">
        <f>I41</f>
        <v>0</v>
      </c>
      <c r="W41" s="3718"/>
      <c r="X41" s="686"/>
      <c r="Y41" s="708"/>
      <c r="Z41" s="686"/>
      <c r="AA41" s="686"/>
      <c r="AB41" s="686"/>
      <c r="AC41" s="686"/>
    </row>
    <row r="42" spans="1:31" ht="15.75" thickBot="1">
      <c r="A42" s="434" t="s">
        <v>1793</v>
      </c>
      <c r="B42" s="628"/>
      <c r="C42" s="437" t="e">
        <f>R43</f>
        <v>#DIV/0!</v>
      </c>
      <c r="D42" s="2313" t="s">
        <v>2138</v>
      </c>
      <c r="E42" s="437" t="e">
        <f>R42</f>
        <v>#DIV/0!</v>
      </c>
      <c r="F42" s="2314"/>
      <c r="G42" s="436" t="e">
        <f>T42</f>
        <v>#DIV/0!</v>
      </c>
      <c r="H42" s="2314"/>
      <c r="I42" s="437" t="e">
        <f>V42</f>
        <v>#DIV/0!</v>
      </c>
      <c r="J42" s="2314"/>
      <c r="K42" s="2316">
        <f>F42+H42+J42</f>
        <v>0</v>
      </c>
      <c r="L42" s="2720"/>
      <c r="M42" s="2712"/>
      <c r="N42" s="2712"/>
      <c r="O42" s="2721"/>
      <c r="P42" s="3705" t="str">
        <f>A42</f>
        <v>比较价值（元/平方米）</v>
      </c>
      <c r="Q42" s="3705"/>
      <c r="R42" s="3776" t="e">
        <f>ROUND(PRODUCT(R41,AA7:AA40),0)</f>
        <v>#DIV/0!</v>
      </c>
      <c r="S42" s="3776"/>
      <c r="T42" s="3776" t="e">
        <f>ROUND(PRODUCT(T41,AB7:AB40),0)</f>
        <v>#DIV/0!</v>
      </c>
      <c r="U42" s="3776"/>
      <c r="V42" s="3776" t="e">
        <f>ROUND(PRODUCT(V41,AC7:AC40),0)</f>
        <v>#DIV/0!</v>
      </c>
      <c r="W42" s="3776"/>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20"/>
      <c r="M43" s="2712"/>
      <c r="N43" s="2712"/>
      <c r="O43" s="2721"/>
      <c r="P43" s="3726" t="str">
        <f>A43</f>
        <v>估价对象XX用房的比较价值（楼面单价，元/平方米）</v>
      </c>
      <c r="Q43" s="3727"/>
      <c r="R43" s="3777" t="e">
        <f>ROUND(IF(D42="简单平均",AVERAGE(R42:W42),R42*F42+T42*H42+V42*J42),0)</f>
        <v>#DIV/0!</v>
      </c>
      <c r="S43" s="3777"/>
      <c r="T43" s="3777"/>
      <c r="U43" s="3777"/>
      <c r="V43" s="3777"/>
      <c r="W43" s="3777"/>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1881</v>
      </c>
      <c r="B50" s="630" t="s">
        <v>1882</v>
      </c>
      <c r="C50" s="1979" t="s">
        <v>1883</v>
      </c>
      <c r="D50" s="1980" t="s">
        <v>1884</v>
      </c>
      <c r="E50" s="631" t="s">
        <v>1885</v>
      </c>
      <c r="F50" s="632" t="s">
        <v>1886</v>
      </c>
      <c r="G50" s="3706" t="s">
        <v>1887</v>
      </c>
      <c r="H50" s="377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1890</v>
      </c>
      <c r="B51" s="634" t="e">
        <f>C43</f>
        <v>#DIV/0!</v>
      </c>
      <c r="C51" s="635">
        <v>1</v>
      </c>
      <c r="D51" s="940">
        <v>1</v>
      </c>
      <c r="E51" s="635">
        <f>'数据-汇总表'!E8+'数据-汇总表'!E9</f>
        <v>309.42</v>
      </c>
      <c r="F51" s="636" t="e">
        <f t="shared" ref="F51:F60" si="15">ROUND(B51*E51/10000,0)</f>
        <v>#DIV/0!</v>
      </c>
      <c r="G51" s="3754"/>
      <c r="H51" s="3705"/>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1891</v>
      </c>
      <c r="B52" s="215" t="e">
        <f>ROUND($C$43*C52*D52,0)</f>
        <v>#DIV/0!</v>
      </c>
      <c r="C52" s="168">
        <f t="shared" ref="C52:C60" si="16">IF($C$50="北京市系数",I52,J52)</f>
        <v>0</v>
      </c>
      <c r="D52" s="941">
        <v>0.25</v>
      </c>
      <c r="E52" s="639"/>
      <c r="F52" s="636" t="e">
        <f t="shared" si="15"/>
        <v>#DIV/0!</v>
      </c>
      <c r="G52" s="3002" t="s">
        <v>1892</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1893</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1894</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1895</v>
      </c>
      <c r="B56" s="215" t="e">
        <f t="shared" si="17"/>
        <v>#DIV/0!</v>
      </c>
      <c r="C56" s="168">
        <f t="shared" si="16"/>
        <v>0</v>
      </c>
      <c r="D56" s="941">
        <v>0.25</v>
      </c>
      <c r="E56" s="214">
        <f>'数据-汇总表'!E11</f>
        <v>0</v>
      </c>
      <c r="F56" s="636" t="e">
        <f t="shared" si="15"/>
        <v>#DIV/0!</v>
      </c>
      <c r="G56" s="1983" t="s">
        <v>1896</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SUMIF(修正!A59:A70,H57,修正!F59:F70)</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SUMIF(修正!A59:A70,H58,修正!G59:G70)</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1901</v>
      </c>
      <c r="B59" s="215" t="e">
        <f t="shared" si="17"/>
        <v>#DIV/0!</v>
      </c>
      <c r="C59" s="168">
        <f t="shared" si="16"/>
        <v>0</v>
      </c>
      <c r="D59" s="941">
        <v>0.25</v>
      </c>
      <c r="E59" s="214">
        <f>'数据-汇总表'!E14</f>
        <v>0</v>
      </c>
      <c r="F59" s="636" t="e">
        <f t="shared" si="15"/>
        <v>#DIV/0!</v>
      </c>
      <c r="G59" s="1983" t="s">
        <v>1892</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1902</v>
      </c>
      <c r="B60" s="215" t="e">
        <f t="shared" si="17"/>
        <v>#DIV/0!</v>
      </c>
      <c r="C60" s="168">
        <f t="shared" si="16"/>
        <v>0</v>
      </c>
      <c r="D60" s="941">
        <v>0.25</v>
      </c>
      <c r="E60" s="214">
        <f>'数据-汇总表'!E15</f>
        <v>0</v>
      </c>
      <c r="F60" s="636" t="e">
        <f t="shared" si="15"/>
        <v>#DIV/0!</v>
      </c>
      <c r="G60" s="1984" t="s">
        <v>1896</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1903</v>
      </c>
      <c r="B61" s="641" t="s">
        <v>22</v>
      </c>
      <c r="C61" s="641" t="s">
        <v>23</v>
      </c>
      <c r="D61" s="641" t="s">
        <v>392</v>
      </c>
      <c r="E61" s="641">
        <f>IF(B41="楼面地价",SUM(E51:E60),'数据-汇总表'!D3)</f>
        <v>0</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1798</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1904</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1716</v>
      </c>
      <c r="B67" s="462"/>
      <c r="C67" s="463"/>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1681</v>
      </c>
      <c r="B68" s="456"/>
      <c r="C68" s="468" t="s">
        <v>1776</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1719</v>
      </c>
      <c r="B70" s="474" t="s">
        <v>1685</v>
      </c>
      <c r="C70" s="476"/>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1688</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c r="D75" s="495"/>
      <c r="E75" s="495"/>
      <c r="F75" s="495"/>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1690</v>
      </c>
      <c r="B83" s="474" t="s">
        <v>1829</v>
      </c>
      <c r="C83" s="519" t="s">
        <v>1721</v>
      </c>
      <c r="D83" s="519" t="s">
        <v>1722</v>
      </c>
      <c r="E83" s="519" t="s">
        <v>1723</v>
      </c>
      <c r="F83" s="519" t="s">
        <v>1724</v>
      </c>
      <c r="G83" s="519" t="s">
        <v>1725</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1726</v>
      </c>
      <c r="C85" s="524" t="s">
        <v>1721</v>
      </c>
      <c r="D85" s="524" t="s">
        <v>1722</v>
      </c>
      <c r="E85" s="524" t="s">
        <v>1723</v>
      </c>
      <c r="F85" s="524" t="s">
        <v>1724</v>
      </c>
      <c r="G85" s="524" t="s">
        <v>1725</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1815</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1873</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c r="D108" s="541"/>
      <c r="E108" s="541"/>
      <c r="F108" s="541"/>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c r="D109" s="537"/>
      <c r="E109" s="537"/>
      <c r="F109" s="537"/>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1914</v>
      </c>
      <c r="C110" s="529"/>
      <c r="D110" s="529"/>
      <c r="E110" s="529"/>
      <c r="F110" s="529"/>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1916</v>
      </c>
      <c r="C112" s="500"/>
      <c r="D112" s="500"/>
      <c r="E112" s="500"/>
      <c r="F112" s="500"/>
      <c r="G112" s="500"/>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1917</v>
      </c>
      <c r="C114" s="500"/>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2083</v>
      </c>
      <c r="C1" s="3786" t="s">
        <v>2084</v>
      </c>
      <c r="D1" s="3787"/>
      <c r="E1" s="3787"/>
      <c r="F1" s="3787"/>
      <c r="G1" s="3787"/>
      <c r="H1" s="3787"/>
      <c r="I1" s="3787"/>
      <c r="J1" s="3787"/>
      <c r="K1" s="3787"/>
      <c r="L1" s="3787"/>
      <c r="M1" s="3787"/>
      <c r="N1" s="3787"/>
      <c r="O1" s="3787"/>
      <c r="P1" s="3787"/>
      <c r="Q1" s="3787"/>
      <c r="R1" s="3787"/>
      <c r="S1" s="3788"/>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2095</v>
      </c>
      <c r="E19" s="1336"/>
      <c r="F19" s="1336"/>
      <c r="G19" s="1336"/>
      <c r="H19" s="1055"/>
      <c r="I19" s="156"/>
      <c r="J19" s="156"/>
      <c r="K19" s="156"/>
      <c r="L19" s="156"/>
      <c r="M19" s="156"/>
      <c r="N19" s="156"/>
      <c r="O19" s="156"/>
      <c r="P19" s="156"/>
      <c r="Q19" s="156"/>
      <c r="R19" s="714"/>
      <c r="S19" s="126"/>
    </row>
    <row r="20" spans="1:45" ht="16.5" thickBot="1">
      <c r="A20" s="659" t="s">
        <v>2096</v>
      </c>
      <c r="B20" s="291" t="e">
        <f ca="1">IF(D20="——",S22,S22-F20)</f>
        <v>#REF!</v>
      </c>
      <c r="C20" s="156"/>
      <c r="D20" s="2147"/>
      <c r="E20" s="1337"/>
      <c r="F20" s="979" t="e">
        <f ca="1">SUMIF(INDIRECT("'"&amp;H20&amp;"'"&amp;"!A:A"),"承租人权益价值",INDIRECT("'"&amp;H20&amp;"'"&amp;"!c:c"))</f>
        <v>#REF!</v>
      </c>
      <c r="G20" s="979" t="s">
        <v>2097</v>
      </c>
      <c r="H20" s="2148"/>
      <c r="I20" s="156"/>
      <c r="J20" s="156"/>
      <c r="K20" s="156"/>
      <c r="L20" s="156"/>
      <c r="M20" s="156"/>
      <c r="N20" s="156"/>
      <c r="O20" s="156"/>
      <c r="P20" s="156"/>
      <c r="Q20" s="156"/>
      <c r="R20" s="714"/>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2099</v>
      </c>
      <c r="B22" s="21">
        <f>SUM(B24:B10000)</f>
        <v>0</v>
      </c>
      <c r="C22" s="3783" t="s">
        <v>27</v>
      </c>
      <c r="D22" s="3784"/>
      <c r="E22" s="3784"/>
      <c r="F22" s="3784"/>
      <c r="G22" s="3784"/>
      <c r="H22" s="3784"/>
      <c r="I22" s="3784"/>
      <c r="J22" s="3784"/>
      <c r="K22" s="3784"/>
      <c r="L22" s="3784"/>
      <c r="M22" s="3784"/>
      <c r="N22" s="3784"/>
      <c r="O22" s="3784"/>
      <c r="P22" s="3784"/>
      <c r="Q22" s="3785"/>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1926</v>
      </c>
      <c r="B1" s="194"/>
      <c r="C1" s="198" t="s">
        <v>1927</v>
      </c>
      <c r="D1" s="339">
        <f>SUM(D33:D34,D37:D42)</f>
        <v>0</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5" t="s">
        <v>1941</v>
      </c>
      <c r="D3" s="1996" t="s">
        <v>1942</v>
      </c>
      <c r="E3" s="3416"/>
      <c r="F3" s="2000"/>
      <c r="G3" s="748">
        <f>IF(F3="宗地容积率",'数据-汇总表'!I4,IF(F3="估价对象容积率",'数据-汇总表'!I6,'数据-汇总表'!I7))</f>
        <v>1</v>
      </c>
      <c r="H3" s="167"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796"/>
      <c r="B4" s="3797"/>
      <c r="C4" s="3797"/>
      <c r="D4" s="3798"/>
      <c r="E4" s="3798"/>
      <c r="F4" s="3798"/>
      <c r="G4" s="3798"/>
      <c r="H4" s="3798"/>
      <c r="I4" s="3798"/>
      <c r="J4" s="3799"/>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t="e">
        <f>ROUND(IF(E2="商业",C6*C7*C17+C20,(IF(E2="住宅",C6*C13*C17+C20,IF(E2="办公",C6*C12*C17+C20,C6+C20)))),0)</f>
        <v>#DIV/0!</v>
      </c>
      <c r="D5" s="1335" t="e">
        <f>ROUND(C6*C17+C20,0)</f>
        <v>#DIV/0!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3237</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t="e">
        <f t="shared" si="0"/>
        <v>#DIV/0!</v>
      </c>
      <c r="U7" s="1209"/>
      <c r="V7" s="3357" t="e">
        <f t="shared" si="1"/>
        <v>#DIV/0!</v>
      </c>
      <c r="W7" s="1354" t="s">
        <v>1955</v>
      </c>
      <c r="X7" s="1210">
        <f>G2</f>
        <v>0</v>
      </c>
      <c r="Y7" s="1210" t="s">
        <v>1956</v>
      </c>
      <c r="Z7" s="1211">
        <f>G3</f>
        <v>1</v>
      </c>
      <c r="AA7" s="1212"/>
      <c r="AB7" s="1212"/>
      <c r="AC7" s="1213"/>
      <c r="AD7" s="1214"/>
      <c r="AE7" s="1214"/>
      <c r="AF7" s="1214"/>
      <c r="AG7" s="1214"/>
      <c r="AH7" s="1214"/>
      <c r="AI7" s="1214"/>
      <c r="AJ7" s="1215"/>
    </row>
    <row r="8" spans="1:36" ht="15">
      <c r="A8" s="3295"/>
      <c r="B8" s="167" t="s">
        <v>1957</v>
      </c>
      <c r="C8" s="2022"/>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t="e">
        <f t="shared" si="0"/>
        <v>#DIV/0!</v>
      </c>
      <c r="U8" s="1209"/>
      <c r="V8" s="3357" t="e">
        <f t="shared" si="1"/>
        <v>#DIV/0!</v>
      </c>
      <c r="W8" s="3793" t="s">
        <v>1960</v>
      </c>
      <c r="X8" s="3794"/>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67" t="s">
        <v>1973</v>
      </c>
      <c r="C9" s="754">
        <f>SUMIF(修正!C73:C140,C8,修正!E73:E140)</f>
        <v>0</v>
      </c>
      <c r="D9" s="168" t="s">
        <v>113</v>
      </c>
      <c r="E9" s="168"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t="e">
        <f t="shared" si="0"/>
        <v>#DIV/0!</v>
      </c>
      <c r="U9" s="1209"/>
      <c r="V9" s="3357" t="e">
        <f t="shared" si="1"/>
        <v>#DIV/0!</v>
      </c>
      <c r="W9" s="379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1976</v>
      </c>
      <c r="C10" s="168">
        <f>SUMIF(修正!C73:C140,C8,修正!F73:F140)</f>
        <v>0</v>
      </c>
      <c r="D10" s="168" t="s">
        <v>114</v>
      </c>
      <c r="E10" s="168"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t="e">
        <f t="shared" si="0"/>
        <v>#DIV/0!</v>
      </c>
      <c r="U10" s="1209"/>
      <c r="V10" s="3357" t="e">
        <f t="shared" si="1"/>
        <v>#DIV/0!</v>
      </c>
      <c r="W10" s="379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3242</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3243</v>
      </c>
      <c r="G14" s="3308" t="s">
        <v>3243</v>
      </c>
      <c r="H14" s="3308" t="s">
        <v>3243</v>
      </c>
      <c r="I14" s="3308" t="s">
        <v>3243</v>
      </c>
      <c r="J14" s="3308" t="s">
        <v>3243</v>
      </c>
      <c r="K14" s="1115"/>
      <c r="L14" s="1115"/>
      <c r="M14" s="1115"/>
      <c r="N14" s="1115"/>
      <c r="O14" s="1115"/>
      <c r="P14" s="1115"/>
      <c r="Q14" s="1115"/>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3244</v>
      </c>
      <c r="G15" s="3310"/>
      <c r="H15" s="3311"/>
      <c r="I15" s="3312"/>
      <c r="J15" s="3313"/>
      <c r="K15" s="1115"/>
      <c r="L15" s="1115"/>
      <c r="M15" s="1115"/>
      <c r="N15" s="1115"/>
      <c r="O15" s="1115"/>
      <c r="P15" s="1115"/>
      <c r="Q15" s="1115"/>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3248</v>
      </c>
      <c r="E18" s="3325"/>
      <c r="F18" s="3320" t="s">
        <v>3251</v>
      </c>
      <c r="G18" s="3324">
        <f>ROUND(1-(1/(POWER(1+G24,E18))),4)</f>
        <v>0</v>
      </c>
      <c r="H18" s="3320" t="s">
        <v>3253</v>
      </c>
      <c r="I18" s="3324">
        <f>ROUND(1-(1/(POWER(1+G24,J24))),4)</f>
        <v>0</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3249</v>
      </c>
      <c r="E19" s="3334"/>
      <c r="F19" s="3335" t="s">
        <v>3252</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0" t="s">
        <v>3254</v>
      </c>
      <c r="B20" s="164" t="s">
        <v>1994</v>
      </c>
      <c r="C20" s="3321" t="e">
        <f>ROUND(IF(F21="与级别开发程度一致",0,(G21-E21)/C21),0)</f>
        <v>#DIV/0!</v>
      </c>
      <c r="D20" s="3337" t="s">
        <v>1998</v>
      </c>
      <c r="E20" s="3338"/>
      <c r="F20" s="3806" t="s">
        <v>1995</v>
      </c>
      <c r="G20" s="3807"/>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15" thickBot="1">
      <c r="A21" s="3801"/>
      <c r="B21" s="2160" t="s">
        <v>1997</v>
      </c>
      <c r="C21" s="2161">
        <f>IF(E3="M4科研用地",SUMPRODUCT((修正!A2:A7=E3)*(修正!B1:M1=G2)*(修正!B2:M7)),SUMPRODUCT((修正!A2:A7=E2)*(修正!B1:M1=G2)*(修正!B2:M7)))</f>
        <v>0</v>
      </c>
      <c r="D21" s="184"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SUMIF(修正!C20:C53,E3,修正!E20:E53)</f>
        <v>0</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0" t="s">
        <v>2002</v>
      </c>
      <c r="E23" s="757">
        <v>44197</v>
      </c>
      <c r="F23" s="2050" t="s">
        <v>2003</v>
      </c>
      <c r="G23" s="758">
        <f>'数据-取费表'!B2</f>
        <v>45888</v>
      </c>
      <c r="H23" s="3339" t="s">
        <v>3256</v>
      </c>
      <c r="I23" s="3340" t="str">
        <f>IF(H23="季度增幅（自定义）",SUMIF(N25:N28,E2,O25:O28),"")</f>
        <v/>
      </c>
      <c r="J23" s="3442" t="s">
        <v>3255</v>
      </c>
      <c r="K23" s="1121"/>
      <c r="L23" s="2051" t="s">
        <v>2004</v>
      </c>
      <c r="M23" s="1324">
        <f>ROUND(SUMIF(地价!B2:G2,E2,地价!B16:G16),0)</f>
        <v>0</v>
      </c>
      <c r="N23" s="2052" t="s">
        <v>2005</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t="e">
        <f>ROUND(POWER(1+G24,J24-I24)*(POWER(1+G24,I24)-1)/(POWER(1+G24,J24)-1),4)</f>
        <v>#DIV/0!</v>
      </c>
      <c r="D24" s="2056" t="s">
        <v>2007</v>
      </c>
      <c r="E24" s="1331">
        <f>存贷款利率!E28/100</f>
        <v>4.3499999999999997E-2</v>
      </c>
      <c r="F24" s="2056" t="s">
        <v>1999</v>
      </c>
      <c r="G24" s="764">
        <f>SUMIF(M30:Q30,E2,M33:Q33)</f>
        <v>0</v>
      </c>
      <c r="H24" s="2056" t="s">
        <v>2008</v>
      </c>
      <c r="I24" s="765" t="e">
        <f>SUMIF('数据-取费表'!C6:C15,E2,'数据-取费表'!F6:F15)/COUNTIF('数据-取费表'!C6:C15,E2)</f>
        <v>#DIV/0!</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3335</v>
      </c>
      <c r="C25" s="767">
        <f>IF(B25="容积率修正",IF(G3&lt;10,D26,J26),C27)</f>
        <v>0</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3257</v>
      </c>
      <c r="D26" s="1348">
        <f>IF(E26=G26,F26,IF(G3&lt;10,ROUND(F26+(H26-F26)*(G3-E26)/(G26-E26),4),"——"))</f>
        <v>0</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0</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5"/>
      <c r="L30" s="3347" t="s">
        <v>1936</v>
      </c>
      <c r="M30" s="3348" t="s">
        <v>1990</v>
      </c>
      <c r="N30" s="3348" t="s">
        <v>1991</v>
      </c>
      <c r="O30" s="3348" t="s">
        <v>1992</v>
      </c>
      <c r="P30" s="3348" t="s">
        <v>1993</v>
      </c>
      <c r="Q30" s="3351" t="s">
        <v>3262</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t="e">
        <f>E34+SUM(I37:I42)</f>
        <v>#DIV/0!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2" t="e">
        <f>ROUND(C5*C22*C23*C24*C25*C28,0)</f>
        <v>#DIV/0!</v>
      </c>
      <c r="D33" s="2094"/>
      <c r="E33" s="769" t="e">
        <f>ROUND(C33*D33/10000,0)</f>
        <v>#DIV/0!</v>
      </c>
      <c r="F33" s="3342" t="s">
        <v>3260</v>
      </c>
      <c r="G33" s="2095"/>
      <c r="H33" s="2095"/>
      <c r="I33" s="2095"/>
      <c r="J33" s="2096"/>
      <c r="K33" s="1115"/>
      <c r="L33" s="3345" t="s">
        <v>3263</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4" t="e">
        <f>ROUND(IF(E2="工业",C33*M42,IF(B25="楼层修正",SUM(V2:V16)*M41*10000/D34,C33*M41)),0)</f>
        <v>#DIV/0!</v>
      </c>
      <c r="D34" s="2099"/>
      <c r="E34" s="769" t="e">
        <f>ROUND(IF(B25="楼层修正",SUM(V2:V16)*M40,C34*D34/10000),0)</f>
        <v>#DIV/0!</v>
      </c>
      <c r="F34" s="2100" t="s">
        <v>2032</v>
      </c>
      <c r="G34" s="2101"/>
      <c r="H34" s="2101"/>
      <c r="I34" s="2101"/>
      <c r="J34" s="2102"/>
      <c r="K34" s="1115"/>
      <c r="L34" s="3345" t="s">
        <v>3264</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3261</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2027</v>
      </c>
      <c r="D36" s="444" t="s">
        <v>2028</v>
      </c>
      <c r="E36" s="444" t="s">
        <v>2029</v>
      </c>
      <c r="F36" s="339" t="s">
        <v>2035</v>
      </c>
      <c r="G36" s="2108" t="s">
        <v>2027</v>
      </c>
      <c r="H36" s="2108" t="s">
        <v>2028</v>
      </c>
      <c r="I36" s="2108" t="s">
        <v>2029</v>
      </c>
      <c r="J36" s="240"/>
      <c r="K36" s="3353" t="s">
        <v>3265</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4"/>
      <c r="B37" s="2109" t="s">
        <v>2036</v>
      </c>
      <c r="C37" s="172" t="e">
        <f>ROUND(D5*C22*C23*C24*C28*F37,0)</f>
        <v>#DIV/0!</v>
      </c>
      <c r="D37" s="2094"/>
      <c r="E37" s="168" t="e">
        <f>ROUND(C37*D37/10000,0)</f>
        <v>#DIV/0!</v>
      </c>
      <c r="F37" s="168">
        <f>SUMIF(修正!A59:A70,G2,修正!B59:B70)</f>
        <v>0</v>
      </c>
      <c r="G37" s="168" t="e">
        <f>ROUND(IF(E2="工业",C37*$M$42,C37*$M$41),0)</f>
        <v>#DIV/0!</v>
      </c>
      <c r="H37" s="168">
        <f>D37</f>
        <v>0</v>
      </c>
      <c r="I37" s="168" t="e">
        <f>ROUND(G37*H37/10000,0)</f>
        <v>#DIV/0!</v>
      </c>
      <c r="J37" s="3008"/>
      <c r="K37" s="3355" t="s">
        <v>3266</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5"/>
      <c r="B38" s="2037" t="s">
        <v>2037</v>
      </c>
      <c r="C38" s="172" t="e">
        <f>ROUND(D5*C22*C23*C24*C28*F38,0)</f>
        <v>#DIV/0!</v>
      </c>
      <c r="D38" s="2094"/>
      <c r="E38" s="168" t="e">
        <f t="shared" ref="E38:E42" si="4">ROUND(C38*D38/10000,0)</f>
        <v>#DIV/0!</v>
      </c>
      <c r="F38" s="168">
        <f>SUMIF(修正!A59:A70,G2,修正!C59:C70)</f>
        <v>0</v>
      </c>
      <c r="G38" s="168" t="e">
        <f>ROUND(IF(E2="工业",C38*$M$42,C38*$M$41),0)</f>
        <v>#DIV/0!</v>
      </c>
      <c r="H38" s="168">
        <f t="shared" ref="H38:H42" si="5">D38</f>
        <v>0</v>
      </c>
      <c r="I38" s="168" t="e">
        <f t="shared" ref="I38:I42" si="6">ROUND(G38*H38/10000,0)</f>
        <v>#DIV/0!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5"/>
      <c r="B39" s="2037" t="s">
        <v>3259</v>
      </c>
      <c r="C39" s="172" t="e">
        <f>ROUND(D5*C22*C23*C24*C28*F39,0)</f>
        <v>#DIV/0!</v>
      </c>
      <c r="D39" s="2094"/>
      <c r="E39" s="168" t="e">
        <f t="shared" si="4"/>
        <v>#DIV/0!</v>
      </c>
      <c r="F39" s="168">
        <f>SUMIF(修正!A59:A70,G2,修正!D59:D70)</f>
        <v>0</v>
      </c>
      <c r="G39" s="168" t="e">
        <f>ROUND(IF(E2="工业",C39*$M$42,C39*$M$41),0)</f>
        <v>#DIV/0!</v>
      </c>
      <c r="H39" s="168">
        <f t="shared" si="5"/>
        <v>0</v>
      </c>
      <c r="I39" s="168" t="e">
        <f t="shared" si="6"/>
        <v>#DIV/0!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8" t="e">
        <f>ROUND(D5*C22*C23*C24*C28*F40,0)</f>
        <v>#DIV/0!</v>
      </c>
      <c r="D40" s="2094"/>
      <c r="E40" s="168" t="e">
        <f t="shared" si="4"/>
        <v>#DIV/0!</v>
      </c>
      <c r="F40" s="172">
        <f>SUMIF(修正!A59:A70,G2,修正!E59:E70)</f>
        <v>0</v>
      </c>
      <c r="G40" s="168" t="e">
        <f>ROUND(IF(E2="工业",C40*$M$42,C40*$M$41),0)</f>
        <v>#DIV/0!</v>
      </c>
      <c r="H40" s="168">
        <f t="shared" si="5"/>
        <v>0</v>
      </c>
      <c r="I40" s="168" t="e">
        <f t="shared" si="6"/>
        <v>#DIV/0!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8" t="e">
        <f>ROUND(D5*C22*C23*C44*C28*F41,0)</f>
        <v>#DIV/0!</v>
      </c>
      <c r="D41" s="2094"/>
      <c r="E41" s="168" t="e">
        <f t="shared" si="4"/>
        <v>#DIV/0!</v>
      </c>
      <c r="F41" s="172">
        <f>SUMIF(修正!A59:A70,G2,修正!F59:F70)</f>
        <v>0</v>
      </c>
      <c r="G41" s="168" t="e">
        <f>ROUND(IF(E2="工业",C41*$M$42,C41*$M$41),0)</f>
        <v>#DIV/0!</v>
      </c>
      <c r="H41" s="168">
        <f t="shared" si="5"/>
        <v>0</v>
      </c>
      <c r="I41" s="168" t="e">
        <f t="shared" si="6"/>
        <v>#DIV/0!</v>
      </c>
      <c r="J41" s="2110"/>
      <c r="L41" s="3356" t="s">
        <v>3267</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4" t="e">
        <f>ROUND(D5*C22*C23*C44*C28*F42,0)</f>
        <v>#DIV/0!</v>
      </c>
      <c r="D42" s="2099"/>
      <c r="E42" s="184" t="e">
        <f t="shared" si="4"/>
        <v>#DIV/0!</v>
      </c>
      <c r="F42" s="763">
        <f>SUMIF(修正!A59:A70,G2,修正!G59:G70)</f>
        <v>0</v>
      </c>
      <c r="G42" s="184" t="e">
        <f>ROUND(IF(E2="工业",C42*$M$42,C42*$M$41),0)</f>
        <v>#DIV/0!</v>
      </c>
      <c r="H42" s="184">
        <f t="shared" si="5"/>
        <v>0</v>
      </c>
      <c r="I42" s="184" t="e">
        <f t="shared" si="6"/>
        <v>#DIV/0!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39" t="e">
        <f>ROUND(POWER(1+E44,H44-G44)*(POWER(1+E44,G44)-1)/(POWER(1+E44,H44)-1),4)</f>
        <v>#DIV/0!</v>
      </c>
      <c r="D44" s="168" t="s">
        <v>1999</v>
      </c>
      <c r="E44" s="2149">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5" t="s">
        <v>3269</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3269</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3269</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49" t="s">
        <v>1721</v>
      </c>
      <c r="K82" s="549" t="s">
        <v>1722</v>
      </c>
      <c r="L82" s="549" t="s">
        <v>1723</v>
      </c>
      <c r="M82" s="549" t="s">
        <v>1724</v>
      </c>
      <c r="N82" s="549"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3">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3">
        <v>0.3</v>
      </c>
      <c r="J84" s="1060">
        <f t="shared" si="24"/>
        <v>0</v>
      </c>
      <c r="K84" s="1060">
        <f t="shared" si="25"/>
        <v>0</v>
      </c>
      <c r="L84" s="1060">
        <v>0</v>
      </c>
      <c r="M84" s="1060">
        <f t="shared" si="26"/>
        <v>0</v>
      </c>
      <c r="N84" s="1060">
        <f t="shared" si="26"/>
        <v>0</v>
      </c>
      <c r="Z84" s="1994"/>
      <c r="AA84" s="2049"/>
      <c r="AG84" s="1117"/>
      <c r="AK84" s="2049"/>
    </row>
    <row r="85" spans="1:37" ht="36">
      <c r="A85" s="3365" t="s">
        <v>3270</v>
      </c>
      <c r="B85" s="2130">
        <f>估价对象房地状况!G17</f>
        <v>0</v>
      </c>
      <c r="C85" s="2040"/>
      <c r="D85" s="1061">
        <f t="shared" si="22"/>
        <v>0</v>
      </c>
      <c r="E85" s="743"/>
      <c r="F85" s="1810"/>
      <c r="G85" s="1059"/>
      <c r="H85" s="1062" t="str">
        <f t="shared" si="23"/>
        <v>——</v>
      </c>
      <c r="I85" s="3363">
        <v>0.1</v>
      </c>
      <c r="J85" s="1060">
        <f t="shared" si="24"/>
        <v>0</v>
      </c>
      <c r="K85" s="1060">
        <f t="shared" si="25"/>
        <v>0</v>
      </c>
      <c r="L85" s="1060">
        <v>0</v>
      </c>
      <c r="M85" s="1060">
        <f t="shared" si="26"/>
        <v>0</v>
      </c>
      <c r="N85" s="1060">
        <f t="shared" si="26"/>
        <v>0</v>
      </c>
      <c r="Z85" s="1994"/>
      <c r="AA85" s="2049"/>
      <c r="AG85" s="1117"/>
      <c r="AK85" s="2049"/>
    </row>
    <row r="86" spans="1:37" ht="14.25">
      <c r="A86" s="2126" t="s">
        <v>2067</v>
      </c>
      <c r="B86" s="2130">
        <f>估价对象房地状况!G22</f>
        <v>0</v>
      </c>
      <c r="C86" s="2040"/>
      <c r="D86" s="1061">
        <f t="shared" si="22"/>
        <v>0</v>
      </c>
      <c r="E86" s="743"/>
      <c r="F86" s="1810"/>
      <c r="G86" s="1059"/>
      <c r="H86" s="1062" t="str">
        <f t="shared" si="23"/>
        <v>——</v>
      </c>
      <c r="I86" s="3363">
        <v>0.05</v>
      </c>
      <c r="J86" s="1060">
        <f t="shared" si="24"/>
        <v>0</v>
      </c>
      <c r="K86" s="1060">
        <f t="shared" si="25"/>
        <v>0</v>
      </c>
      <c r="L86" s="1060">
        <v>0</v>
      </c>
      <c r="M86" s="1060">
        <f t="shared" si="26"/>
        <v>0</v>
      </c>
      <c r="N86" s="1060">
        <f t="shared" si="26"/>
        <v>0</v>
      </c>
      <c r="Z86" s="1994"/>
      <c r="AA86" s="2049"/>
      <c r="AG86" s="1117"/>
      <c r="AK86" s="2049"/>
    </row>
    <row r="87" spans="1:37" ht="25.5">
      <c r="A87" s="2126" t="s">
        <v>2059</v>
      </c>
      <c r="B87" s="1322" t="str">
        <f>估价对象房地状况!G19</f>
        <v>估价对象所在区域公共配套设施齐备情况</v>
      </c>
      <c r="C87" s="2040"/>
      <c r="D87" s="1061">
        <f t="shared" si="22"/>
        <v>0</v>
      </c>
      <c r="E87" s="743"/>
      <c r="F87" s="1810"/>
      <c r="G87" s="1059"/>
      <c r="H87" s="1062" t="str">
        <f t="shared" si="23"/>
        <v>——</v>
      </c>
      <c r="I87" s="3363">
        <v>0.06</v>
      </c>
      <c r="J87" s="1060">
        <f t="shared" si="24"/>
        <v>0</v>
      </c>
      <c r="K87" s="1060">
        <f t="shared" si="25"/>
        <v>0</v>
      </c>
      <c r="L87" s="1060">
        <v>0</v>
      </c>
      <c r="M87" s="1060">
        <f t="shared" si="26"/>
        <v>0</v>
      </c>
      <c r="N87" s="1060">
        <f t="shared" si="26"/>
        <v>0</v>
      </c>
    </row>
    <row r="88" spans="1:37" ht="25.5">
      <c r="A88" s="2126" t="s">
        <v>2060</v>
      </c>
      <c r="B88" s="1322" t="str">
        <f>估价对象房地状况!G20</f>
        <v>估价对象所在区域基础设施水平</v>
      </c>
      <c r="C88" s="2040"/>
      <c r="D88" s="1061">
        <f t="shared" si="22"/>
        <v>0</v>
      </c>
      <c r="E88" s="743"/>
      <c r="F88" s="1810"/>
      <c r="G88" s="1059"/>
      <c r="H88" s="1062" t="str">
        <f t="shared" si="23"/>
        <v>——</v>
      </c>
      <c r="I88" s="3363">
        <v>0.12</v>
      </c>
      <c r="J88" s="1060">
        <f t="shared" si="24"/>
        <v>0</v>
      </c>
      <c r="K88" s="1060">
        <f t="shared" si="25"/>
        <v>0</v>
      </c>
      <c r="L88" s="1060">
        <v>0</v>
      </c>
      <c r="M88" s="1060">
        <f t="shared" si="26"/>
        <v>0</v>
      </c>
      <c r="N88" s="1060">
        <f t="shared" si="26"/>
        <v>0</v>
      </c>
    </row>
    <row r="89" spans="1:37" ht="24">
      <c r="A89" s="2126" t="s">
        <v>2057</v>
      </c>
      <c r="B89" s="2132" t="s">
        <v>2071</v>
      </c>
      <c r="C89" s="2040"/>
      <c r="D89" s="1061">
        <f t="shared" si="22"/>
        <v>0</v>
      </c>
      <c r="E89" s="743"/>
      <c r="F89" s="1810"/>
      <c r="G89" s="1059"/>
      <c r="H89" s="1062" t="str">
        <f t="shared" si="23"/>
        <v>——</v>
      </c>
      <c r="I89" s="3363">
        <v>0.06</v>
      </c>
      <c r="J89" s="1060">
        <f t="shared" si="24"/>
        <v>0</v>
      </c>
      <c r="K89" s="1060">
        <f t="shared" si="25"/>
        <v>0</v>
      </c>
      <c r="L89" s="1060">
        <v>0</v>
      </c>
      <c r="M89" s="1060">
        <f t="shared" si="26"/>
        <v>0</v>
      </c>
      <c r="N89" s="1060">
        <f t="shared" si="26"/>
        <v>0</v>
      </c>
    </row>
    <row r="90" spans="1:37" ht="39" thickBot="1">
      <c r="A90" s="2134" t="s">
        <v>2072</v>
      </c>
      <c r="B90" s="2139" t="str">
        <f>估价对象房地状况!G18</f>
        <v>该园区内是否有污染型企业，绿化情况，卫生条件，整体环境状况判断</v>
      </c>
      <c r="C90" s="2040"/>
      <c r="D90" s="1061">
        <f t="shared" si="22"/>
        <v>0</v>
      </c>
      <c r="E90" s="744"/>
      <c r="F90" s="1810"/>
      <c r="G90" s="1059"/>
      <c r="H90" s="1062" t="str">
        <f t="shared" si="23"/>
        <v>——</v>
      </c>
      <c r="I90" s="3364">
        <v>0.05</v>
      </c>
      <c r="J90" s="1060">
        <f t="shared" si="24"/>
        <v>0</v>
      </c>
      <c r="K90" s="1060">
        <f t="shared" si="25"/>
        <v>0</v>
      </c>
      <c r="L90" s="1060">
        <v>0</v>
      </c>
      <c r="M90" s="1060">
        <f t="shared" si="26"/>
        <v>0</v>
      </c>
      <c r="N90" s="1060">
        <f t="shared" si="26"/>
        <v>0</v>
      </c>
    </row>
    <row r="91" spans="1:37" ht="15">
      <c r="A91" s="3373" t="s">
        <v>2612</v>
      </c>
      <c r="B91" s="3374">
        <f>1+E93</f>
        <v>1</v>
      </c>
      <c r="C91" s="3367"/>
      <c r="D91" s="3368"/>
      <c r="E91" s="1810"/>
      <c r="F91" s="1810"/>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2" t="s">
        <v>3294</v>
      </c>
      <c r="B103" s="3802"/>
      <c r="C103" s="3802"/>
      <c r="D103" s="3802"/>
      <c r="E103" s="3802"/>
      <c r="F103" s="3802"/>
      <c r="G103" s="3802"/>
      <c r="H103" s="3802"/>
      <c r="I103" s="3802"/>
      <c r="J103" s="3802"/>
      <c r="K103" s="3386"/>
      <c r="L103" s="3386"/>
      <c r="M103" s="3386"/>
      <c r="N103" s="3386"/>
    </row>
    <row r="104" spans="1:14">
      <c r="A104" s="3803" t="s">
        <v>3295</v>
      </c>
      <c r="B104" s="3803" t="s">
        <v>3296</v>
      </c>
      <c r="C104" s="3387" t="s">
        <v>3297</v>
      </c>
      <c r="D104" s="3388"/>
      <c r="E104" s="3388"/>
      <c r="F104" s="3388"/>
      <c r="G104" s="3388"/>
      <c r="H104" s="3388"/>
      <c r="I104" s="3388"/>
      <c r="J104" s="3389"/>
      <c r="K104" s="3390"/>
      <c r="L104" s="3390"/>
      <c r="M104" s="3390"/>
      <c r="N104" s="3390"/>
    </row>
    <row r="105" spans="1:14">
      <c r="A105" s="3803"/>
      <c r="B105" s="380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8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9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2" t="s">
        <v>3311</v>
      </c>
      <c r="B113" s="3792"/>
      <c r="C113" s="3792"/>
      <c r="D113" s="3792"/>
      <c r="E113" s="3792"/>
      <c r="F113" s="3792"/>
      <c r="G113" s="3792"/>
      <c r="H113" s="3792"/>
      <c r="I113" s="3792"/>
      <c r="J113" s="379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1</v>
      </c>
      <c r="C116" s="3396" t="s">
        <v>3313</v>
      </c>
      <c r="D116" s="3397">
        <f>SUMPRODUCT((A118:A122=F116)*(B117:M117=H116)*B118:M122)</f>
        <v>0</v>
      </c>
      <c r="E116" s="1996" t="s">
        <v>3314</v>
      </c>
      <c r="F116" s="3398">
        <f>E2</f>
        <v>0</v>
      </c>
      <c r="G116" s="1996" t="s">
        <v>3315</v>
      </c>
      <c r="H116" s="3398">
        <f>G2</f>
        <v>0</v>
      </c>
      <c r="I116" s="1996"/>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3329</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3330</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3331</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818" t="s">
        <v>2607</v>
      </c>
      <c r="B20" s="3808" t="s">
        <v>2628</v>
      </c>
      <c r="C20" s="3473" t="s">
        <v>2439</v>
      </c>
      <c r="D20" s="3473"/>
      <c r="E20" s="3101">
        <v>1</v>
      </c>
      <c r="F20" s="3102" t="s">
        <v>2440</v>
      </c>
      <c r="G20" s="3102"/>
    </row>
    <row r="21" spans="1:13" ht="19.5" customHeight="1">
      <c r="A21" s="3819"/>
      <c r="B21" s="3809"/>
      <c r="C21" s="3463" t="s">
        <v>2441</v>
      </c>
      <c r="D21" s="3463"/>
      <c r="E21" s="3105">
        <v>1</v>
      </c>
      <c r="F21" s="3102" t="s">
        <v>2442</v>
      </c>
      <c r="G21" s="3102"/>
    </row>
    <row r="22" spans="1:13" ht="19.5" customHeight="1">
      <c r="A22" s="3819"/>
      <c r="B22" s="3809"/>
      <c r="C22" s="3463" t="s">
        <v>2443</v>
      </c>
      <c r="D22" s="3463"/>
      <c r="E22" s="3105">
        <v>0.9</v>
      </c>
      <c r="F22" s="3102" t="s">
        <v>2444</v>
      </c>
      <c r="G22" s="3102"/>
    </row>
    <row r="23" spans="1:13" ht="19.5" customHeight="1">
      <c r="A23" s="3819"/>
      <c r="B23" s="3809"/>
      <c r="C23" s="3463" t="s">
        <v>2445</v>
      </c>
      <c r="D23" s="3463"/>
      <c r="E23" s="3105">
        <v>0.9</v>
      </c>
      <c r="F23" s="3102" t="s">
        <v>2446</v>
      </c>
      <c r="G23" s="3102"/>
    </row>
    <row r="24" spans="1:13" ht="19.5" customHeight="1">
      <c r="A24" s="3819"/>
      <c r="B24" s="3809"/>
      <c r="C24" s="3463" t="s">
        <v>2447</v>
      </c>
      <c r="D24" s="3463"/>
      <c r="E24" s="3105">
        <v>0.8</v>
      </c>
      <c r="F24" s="3102" t="s">
        <v>2448</v>
      </c>
      <c r="G24" s="3102"/>
    </row>
    <row r="25" spans="1:13" ht="19.5" customHeight="1">
      <c r="A25" s="3819"/>
      <c r="B25" s="3809"/>
      <c r="C25" s="3463" t="s">
        <v>2449</v>
      </c>
      <c r="D25" s="3463"/>
      <c r="E25" s="3105">
        <v>0.8</v>
      </c>
      <c r="F25" s="3102"/>
      <c r="G25" s="3102"/>
    </row>
    <row r="26" spans="1:13" ht="19.5" customHeight="1">
      <c r="A26" s="3819"/>
      <c r="B26" s="3809"/>
      <c r="C26" s="3466" t="s">
        <v>3412</v>
      </c>
      <c r="D26" s="3466"/>
      <c r="E26" s="3467">
        <v>0.43</v>
      </c>
      <c r="F26" s="3102"/>
      <c r="G26" s="3102"/>
    </row>
    <row r="27" spans="1:13" ht="19.5" customHeight="1" thickBot="1">
      <c r="A27" s="3820"/>
      <c r="B27" s="3810"/>
      <c r="C27" s="3468" t="s">
        <v>3413</v>
      </c>
      <c r="D27" s="3468"/>
      <c r="E27" s="3469">
        <f>E26*0.9</f>
        <v>0.38700000000000001</v>
      </c>
      <c r="F27" s="3102" t="s">
        <v>2450</v>
      </c>
      <c r="G27" s="3102"/>
    </row>
    <row r="28" spans="1:13" ht="19.5" customHeight="1" thickBot="1">
      <c r="A28" s="3465" t="s">
        <v>2629</v>
      </c>
      <c r="B28" s="3464" t="s">
        <v>2628</v>
      </c>
      <c r="C28" s="3470" t="s">
        <v>2630</v>
      </c>
      <c r="D28" s="3471"/>
      <c r="E28" s="3472">
        <v>1</v>
      </c>
      <c r="F28" s="3102" t="s">
        <v>2451</v>
      </c>
      <c r="G28" s="3102"/>
    </row>
    <row r="29" spans="1:13" ht="19.5" customHeight="1">
      <c r="A29" s="3811" t="s">
        <v>2631</v>
      </c>
      <c r="B29" s="3814" t="s">
        <v>2612</v>
      </c>
      <c r="C29" s="3099" t="s">
        <v>2452</v>
      </c>
      <c r="D29" s="3100"/>
      <c r="E29" s="3101">
        <v>1</v>
      </c>
      <c r="F29" s="3102" t="s">
        <v>2453</v>
      </c>
      <c r="G29" s="3102"/>
    </row>
    <row r="30" spans="1:13" ht="19.5" customHeight="1">
      <c r="A30" s="3812"/>
      <c r="B30" s="3815"/>
      <c r="C30" s="3103" t="s">
        <v>2454</v>
      </c>
      <c r="D30" s="3104"/>
      <c r="E30" s="3105">
        <v>1</v>
      </c>
      <c r="F30" s="3102" t="s">
        <v>2455</v>
      </c>
      <c r="G30" s="3102"/>
    </row>
    <row r="31" spans="1:13" ht="19.5" customHeight="1">
      <c r="A31" s="3812"/>
      <c r="B31" s="3815"/>
      <c r="C31" s="3103" t="s">
        <v>2456</v>
      </c>
      <c r="D31" s="3104"/>
      <c r="E31" s="3105">
        <v>0.8</v>
      </c>
      <c r="F31" s="3102" t="s">
        <v>2457</v>
      </c>
      <c r="G31" s="3102"/>
    </row>
    <row r="32" spans="1:13" ht="19.5" customHeight="1">
      <c r="A32" s="3812"/>
      <c r="B32" s="3815"/>
      <c r="C32" s="3103" t="s">
        <v>2458</v>
      </c>
      <c r="D32" s="3104"/>
      <c r="E32" s="3105">
        <v>0.8</v>
      </c>
      <c r="F32" s="3102" t="s">
        <v>2459</v>
      </c>
      <c r="G32" s="3102"/>
    </row>
    <row r="33" spans="1:7" ht="19.5" customHeight="1">
      <c r="A33" s="3812"/>
      <c r="B33" s="3815"/>
      <c r="C33" s="3103" t="s">
        <v>2460</v>
      </c>
      <c r="D33" s="3104"/>
      <c r="E33" s="3105">
        <v>0.8</v>
      </c>
      <c r="F33" s="3102" t="s">
        <v>2461</v>
      </c>
      <c r="G33" s="3102"/>
    </row>
    <row r="34" spans="1:7" ht="19.5" customHeight="1">
      <c r="A34" s="3812"/>
      <c r="B34" s="3815"/>
      <c r="C34" s="3103" t="s">
        <v>2462</v>
      </c>
      <c r="D34" s="3104"/>
      <c r="E34" s="3105">
        <v>0.7</v>
      </c>
      <c r="F34" s="3102" t="s">
        <v>2463</v>
      </c>
      <c r="G34" s="3102"/>
    </row>
    <row r="35" spans="1:7" ht="19.5" customHeight="1">
      <c r="A35" s="3812"/>
      <c r="B35" s="3815"/>
      <c r="C35" s="3103" t="s">
        <v>2464</v>
      </c>
      <c r="D35" s="3104"/>
      <c r="E35" s="3105">
        <v>0.8</v>
      </c>
      <c r="F35" s="3102" t="s">
        <v>2465</v>
      </c>
      <c r="G35" s="3102"/>
    </row>
    <row r="36" spans="1:7" ht="19.5" customHeight="1">
      <c r="A36" s="3812"/>
      <c r="B36" s="3815"/>
      <c r="C36" s="3103" t="s">
        <v>2466</v>
      </c>
      <c r="D36" s="3104"/>
      <c r="E36" s="3105">
        <v>0.6</v>
      </c>
      <c r="F36" s="3102" t="s">
        <v>2467</v>
      </c>
      <c r="G36" s="3102"/>
    </row>
    <row r="37" spans="1:7" ht="19.5" customHeight="1">
      <c r="A37" s="3812"/>
      <c r="B37" s="3815"/>
      <c r="C37" s="3103" t="s">
        <v>2468</v>
      </c>
      <c r="D37" s="3104"/>
      <c r="E37" s="3105">
        <v>0.2</v>
      </c>
      <c r="F37" s="3102" t="s">
        <v>2469</v>
      </c>
      <c r="G37" s="3102"/>
    </row>
    <row r="38" spans="1:7" ht="19.5" customHeight="1">
      <c r="A38" s="3812"/>
      <c r="B38" s="3815"/>
      <c r="C38" s="3103" t="s">
        <v>2470</v>
      </c>
      <c r="D38" s="3104"/>
      <c r="E38" s="3105">
        <v>0.2</v>
      </c>
      <c r="F38" s="3102" t="s">
        <v>2471</v>
      </c>
      <c r="G38" s="3102"/>
    </row>
    <row r="39" spans="1:7" ht="19.5" customHeight="1">
      <c r="A39" s="3812"/>
      <c r="B39" s="3816" t="s">
        <v>2632</v>
      </c>
      <c r="C39" s="3103" t="s">
        <v>2472</v>
      </c>
      <c r="D39" s="3104"/>
      <c r="E39" s="3105">
        <v>0.6</v>
      </c>
      <c r="F39" s="3102" t="s">
        <v>2473</v>
      </c>
      <c r="G39" s="3102"/>
    </row>
    <row r="40" spans="1:7" ht="19.5" customHeight="1">
      <c r="A40" s="3812"/>
      <c r="B40" s="3815"/>
      <c r="C40" s="3103" t="s">
        <v>2474</v>
      </c>
      <c r="D40" s="3104"/>
      <c r="E40" s="3105">
        <v>0.6</v>
      </c>
      <c r="F40" s="3102" t="s">
        <v>2475</v>
      </c>
      <c r="G40" s="3102"/>
    </row>
    <row r="41" spans="1:7" ht="19.5" customHeight="1" thickBot="1">
      <c r="A41" s="3813"/>
      <c r="B41" s="3817"/>
      <c r="C41" s="3106" t="s">
        <v>2476</v>
      </c>
      <c r="D41" s="3107"/>
      <c r="E41" s="3108">
        <v>0.6</v>
      </c>
      <c r="F41" s="3102" t="s">
        <v>2477</v>
      </c>
      <c r="G41" s="3102"/>
    </row>
    <row r="42" spans="1:7" ht="19.5" customHeight="1" thickBot="1">
      <c r="A42" s="3109" t="s">
        <v>2609</v>
      </c>
      <c r="B42" s="3110" t="s">
        <v>2609</v>
      </c>
      <c r="C42" s="3111" t="s">
        <v>2633</v>
      </c>
      <c r="D42" s="3112"/>
      <c r="E42" s="3113">
        <v>1</v>
      </c>
      <c r="F42" s="3102" t="s">
        <v>2478</v>
      </c>
      <c r="G42" s="3102"/>
    </row>
    <row r="43" spans="1:7" ht="19.5" customHeight="1">
      <c r="A43" s="3818" t="s">
        <v>2610</v>
      </c>
      <c r="B43" s="3814" t="s">
        <v>2634</v>
      </c>
      <c r="C43" s="3099" t="s">
        <v>2479</v>
      </c>
      <c r="D43" s="3100"/>
      <c r="E43" s="3101">
        <v>1</v>
      </c>
      <c r="F43" s="3102" t="s">
        <v>2480</v>
      </c>
      <c r="G43" s="3102"/>
    </row>
    <row r="44" spans="1:7" ht="19.5" customHeight="1">
      <c r="A44" s="3819"/>
      <c r="B44" s="3815"/>
      <c r="C44" s="3103" t="s">
        <v>2481</v>
      </c>
      <c r="D44" s="3104"/>
      <c r="E44" s="3105">
        <v>1</v>
      </c>
      <c r="F44" s="3102" t="s">
        <v>2482</v>
      </c>
      <c r="G44" s="3102"/>
    </row>
    <row r="45" spans="1:7" ht="19.5" customHeight="1">
      <c r="A45" s="3819"/>
      <c r="B45" s="3821"/>
      <c r="C45" s="3103" t="s">
        <v>2483</v>
      </c>
      <c r="D45" s="3104"/>
      <c r="E45" s="3105">
        <v>1.5</v>
      </c>
      <c r="F45" s="3102" t="s">
        <v>2484</v>
      </c>
      <c r="G45" s="3102"/>
    </row>
    <row r="46" spans="1:7" ht="19.5" customHeight="1">
      <c r="A46" s="3819"/>
      <c r="B46" s="3114" t="s">
        <v>2635</v>
      </c>
      <c r="C46" s="3103" t="s">
        <v>2636</v>
      </c>
      <c r="D46" s="3104"/>
      <c r="E46" s="3105">
        <v>2</v>
      </c>
      <c r="F46" s="3102" t="s">
        <v>2485</v>
      </c>
      <c r="G46" s="3102"/>
    </row>
    <row r="47" spans="1:7" ht="19.5" customHeight="1">
      <c r="A47" s="3819"/>
      <c r="B47" s="3816" t="s">
        <v>2637</v>
      </c>
      <c r="C47" s="3103" t="s">
        <v>2486</v>
      </c>
      <c r="D47" s="3104"/>
      <c r="E47" s="3105">
        <v>1</v>
      </c>
      <c r="F47" s="3102" t="s">
        <v>2487</v>
      </c>
      <c r="G47" s="3102"/>
    </row>
    <row r="48" spans="1:7" ht="19.5" customHeight="1">
      <c r="A48" s="3819"/>
      <c r="B48" s="3815"/>
      <c r="C48" s="3103" t="s">
        <v>2488</v>
      </c>
      <c r="D48" s="3104"/>
      <c r="E48" s="3105">
        <v>1</v>
      </c>
      <c r="F48" s="3102" t="s">
        <v>2489</v>
      </c>
      <c r="G48" s="3102"/>
    </row>
    <row r="49" spans="1:7" ht="19.5" customHeight="1">
      <c r="A49" s="3819"/>
      <c r="B49" s="3815"/>
      <c r="C49" s="3103" t="s">
        <v>2490</v>
      </c>
      <c r="D49" s="3104"/>
      <c r="E49" s="3105">
        <v>1</v>
      </c>
      <c r="F49" s="3102" t="s">
        <v>2491</v>
      </c>
      <c r="G49" s="3102"/>
    </row>
    <row r="50" spans="1:7" ht="19.5" customHeight="1">
      <c r="A50" s="3819"/>
      <c r="B50" s="3815"/>
      <c r="C50" s="3103" t="s">
        <v>2492</v>
      </c>
      <c r="D50" s="3104"/>
      <c r="E50" s="3105">
        <v>1</v>
      </c>
      <c r="F50" s="3102" t="s">
        <v>2493</v>
      </c>
      <c r="G50" s="3102"/>
    </row>
    <row r="51" spans="1:7" ht="19.5" customHeight="1">
      <c r="A51" s="3819"/>
      <c r="B51" s="3815"/>
      <c r="C51" s="3103" t="s">
        <v>2494</v>
      </c>
      <c r="D51" s="3104"/>
      <c r="E51" s="3105">
        <v>1</v>
      </c>
      <c r="F51" s="3102" t="s">
        <v>2495</v>
      </c>
      <c r="G51" s="3102"/>
    </row>
    <row r="52" spans="1:7" ht="19.5" customHeight="1">
      <c r="A52" s="3819"/>
      <c r="B52" s="3815"/>
      <c r="C52" s="3103" t="s">
        <v>2496</v>
      </c>
      <c r="D52" s="3104"/>
      <c r="E52" s="3105">
        <v>1</v>
      </c>
      <c r="F52" s="3102" t="s">
        <v>2497</v>
      </c>
      <c r="G52" s="3102"/>
    </row>
    <row r="53" spans="1:7" ht="19.5" customHeight="1" thickBot="1">
      <c r="A53" s="3820"/>
      <c r="B53" s="3817"/>
      <c r="C53" s="3106" t="s">
        <v>2498</v>
      </c>
      <c r="D53" s="3107"/>
      <c r="E53" s="3108">
        <v>1</v>
      </c>
      <c r="F53" s="3102" t="s">
        <v>2499</v>
      </c>
      <c r="G53" s="3102"/>
    </row>
    <row r="54" spans="1:7" ht="19.5" customHeight="1">
      <c r="A54" s="3115"/>
      <c r="B54" s="3115"/>
      <c r="C54" s="3115"/>
      <c r="D54" s="3115"/>
      <c r="E54" s="3115"/>
      <c r="F54" s="3115"/>
      <c r="G54" s="3115"/>
    </row>
    <row r="56" spans="1:7" ht="19.5" customHeight="1">
      <c r="A56" s="3116"/>
      <c r="B56" s="3088" t="s">
        <v>2638</v>
      </c>
      <c r="C56" s="3088" t="s">
        <v>2638</v>
      </c>
      <c r="D56" s="3088" t="s">
        <v>2638</v>
      </c>
      <c r="E56" s="3091" t="s">
        <v>2638</v>
      </c>
      <c r="F56" s="3091" t="s">
        <v>2639</v>
      </c>
      <c r="G56" s="3091" t="s">
        <v>2640</v>
      </c>
    </row>
    <row r="57" spans="1:7" ht="19.5" customHeight="1">
      <c r="A57" s="3117"/>
      <c r="B57" s="3091" t="s">
        <v>2607</v>
      </c>
      <c r="C57" s="3091" t="s">
        <v>2607</v>
      </c>
      <c r="D57" s="3091" t="s">
        <v>2607</v>
      </c>
      <c r="E57" s="3088" t="s">
        <v>2608</v>
      </c>
      <c r="F57" s="3088" t="s">
        <v>2610</v>
      </c>
      <c r="G57" s="3088" t="s">
        <v>2641</v>
      </c>
    </row>
    <row r="58" spans="1:7" ht="19.5" customHeight="1">
      <c r="A58" s="3118"/>
      <c r="B58" s="3088">
        <v>1</v>
      </c>
      <c r="C58" s="3088">
        <v>2</v>
      </c>
      <c r="D58" s="3088">
        <v>3</v>
      </c>
      <c r="E58" s="3119" t="s">
        <v>2642</v>
      </c>
      <c r="F58" s="3119" t="s">
        <v>2642</v>
      </c>
      <c r="G58" s="3119" t="s">
        <v>2642</v>
      </c>
    </row>
    <row r="59" spans="1:7" ht="19.5" customHeight="1">
      <c r="A59" s="3120" t="s">
        <v>2595</v>
      </c>
      <c r="B59" s="3088">
        <v>0.7</v>
      </c>
      <c r="C59" s="3088">
        <v>0.4</v>
      </c>
      <c r="D59" s="3088">
        <v>0.3</v>
      </c>
      <c r="E59" s="3119">
        <v>0.3</v>
      </c>
      <c r="F59" s="3088">
        <v>0.3</v>
      </c>
      <c r="G59" s="3088">
        <v>0.2</v>
      </c>
    </row>
    <row r="60" spans="1:7" ht="19.5" customHeight="1">
      <c r="A60" s="3120" t="s">
        <v>2596</v>
      </c>
      <c r="B60" s="3088">
        <v>0.7</v>
      </c>
      <c r="C60" s="3088">
        <v>0.4</v>
      </c>
      <c r="D60" s="3088">
        <v>0.3</v>
      </c>
      <c r="E60" s="3088">
        <v>0.3</v>
      </c>
      <c r="F60" s="3088">
        <v>0.3</v>
      </c>
      <c r="G60" s="3088">
        <v>0.2</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0.6</v>
      </c>
      <c r="C64" s="3088">
        <v>0.3</v>
      </c>
      <c r="D64" s="3088">
        <v>0.25</v>
      </c>
      <c r="E64" s="3088">
        <v>0.25</v>
      </c>
      <c r="F64" s="3088">
        <v>0.25</v>
      </c>
      <c r="G64" s="3088">
        <v>0.15</v>
      </c>
    </row>
    <row r="65" spans="1:7" ht="19.5" customHeight="1">
      <c r="A65" s="3120" t="s">
        <v>2601</v>
      </c>
      <c r="B65" s="3088">
        <v>0.6</v>
      </c>
      <c r="C65" s="3088">
        <v>0.3</v>
      </c>
      <c r="D65" s="3088">
        <v>0.25</v>
      </c>
      <c r="E65" s="3088">
        <v>0.25</v>
      </c>
      <c r="F65" s="3088">
        <v>0.25</v>
      </c>
      <c r="G65" s="3088">
        <v>0.15</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69" spans="1:7" ht="19.5" customHeight="1">
      <c r="A69" s="3120" t="s">
        <v>2605</v>
      </c>
      <c r="B69" s="3088">
        <v>0.5</v>
      </c>
      <c r="C69" s="3088">
        <v>0.2</v>
      </c>
      <c r="D69" s="3088">
        <v>0.2</v>
      </c>
      <c r="E69" s="3088">
        <v>0.2</v>
      </c>
      <c r="F69" s="3088">
        <v>0.2</v>
      </c>
      <c r="G69" s="3088">
        <v>0.1</v>
      </c>
    </row>
    <row r="70" spans="1:7" ht="19.5" customHeight="1">
      <c r="A70" s="3120" t="s">
        <v>2606</v>
      </c>
      <c r="B70" s="3088">
        <v>0.5</v>
      </c>
      <c r="C70" s="3088">
        <v>0.2</v>
      </c>
      <c r="D70" s="3088">
        <v>0.2</v>
      </c>
      <c r="E70" s="3088">
        <v>0.2</v>
      </c>
      <c r="F70" s="3088">
        <v>0.2</v>
      </c>
      <c r="G70" s="3088">
        <v>0.1</v>
      </c>
    </row>
    <row r="72" spans="1:7" ht="19.5" customHeight="1">
      <c r="A72" s="3121"/>
      <c r="B72" s="3122"/>
      <c r="C72" s="3122"/>
      <c r="D72" s="3122" t="s">
        <v>2643</v>
      </c>
      <c r="E72" s="3122"/>
      <c r="F72" s="3122"/>
    </row>
    <row r="73" spans="1:7" ht="19.5" customHeight="1">
      <c r="A73" s="3114" t="s">
        <v>2644</v>
      </c>
      <c r="B73" s="3114" t="s">
        <v>2645</v>
      </c>
      <c r="C73" s="3114" t="s">
        <v>2646</v>
      </c>
      <c r="D73" s="3114" t="s">
        <v>2647</v>
      </c>
      <c r="E73" s="3114" t="s">
        <v>2648</v>
      </c>
      <c r="F73" s="3114" t="s">
        <v>2649</v>
      </c>
    </row>
    <row r="74" spans="1:7" ht="13.5">
      <c r="A74" s="3114"/>
      <c r="B74" s="3114"/>
      <c r="C74" s="3114" t="s">
        <v>2650</v>
      </c>
      <c r="D74" s="3114"/>
      <c r="E74" s="3114" t="s">
        <v>2621</v>
      </c>
      <c r="F74" s="3114" t="s">
        <v>2621</v>
      </c>
    </row>
    <row r="75" spans="1:7" ht="13.5">
      <c r="A75" s="3114">
        <v>1</v>
      </c>
      <c r="B75" s="3816" t="s">
        <v>2651</v>
      </c>
      <c r="C75" s="3088" t="s">
        <v>2652</v>
      </c>
      <c r="D75" s="3088" t="s">
        <v>2653</v>
      </c>
      <c r="E75" s="3114">
        <v>0.2</v>
      </c>
      <c r="F75" s="3114">
        <v>25</v>
      </c>
    </row>
    <row r="76" spans="1:7" ht="24">
      <c r="A76" s="3114">
        <v>2</v>
      </c>
      <c r="B76" s="3815"/>
      <c r="C76" s="3088" t="s">
        <v>2654</v>
      </c>
      <c r="D76" s="3088" t="s">
        <v>2655</v>
      </c>
      <c r="E76" s="3114">
        <v>0.2</v>
      </c>
      <c r="F76" s="3114">
        <v>25</v>
      </c>
    </row>
    <row r="77" spans="1:7" ht="24">
      <c r="A77" s="3114">
        <v>3</v>
      </c>
      <c r="B77" s="3815"/>
      <c r="C77" s="3088" t="s">
        <v>2656</v>
      </c>
      <c r="D77" s="3088" t="s">
        <v>2657</v>
      </c>
      <c r="E77" s="3114">
        <v>0.2</v>
      </c>
      <c r="F77" s="3114">
        <v>25</v>
      </c>
    </row>
    <row r="78" spans="1:7" ht="13.5">
      <c r="A78" s="3114">
        <v>4</v>
      </c>
      <c r="B78" s="3815"/>
      <c r="C78" s="3088" t="s">
        <v>2658</v>
      </c>
      <c r="D78" s="3088" t="s">
        <v>2659</v>
      </c>
      <c r="E78" s="3114">
        <v>0.15</v>
      </c>
      <c r="F78" s="3114">
        <v>20</v>
      </c>
    </row>
    <row r="79" spans="1:7" ht="24">
      <c r="A79" s="3114">
        <v>5</v>
      </c>
      <c r="B79" s="3815"/>
      <c r="C79" s="3088" t="s">
        <v>2660</v>
      </c>
      <c r="D79" s="3088" t="s">
        <v>2661</v>
      </c>
      <c r="E79" s="3114">
        <v>0.15</v>
      </c>
      <c r="F79" s="3114">
        <v>20</v>
      </c>
    </row>
    <row r="80" spans="1:7" ht="24">
      <c r="A80" s="3114">
        <v>6</v>
      </c>
      <c r="B80" s="3815"/>
      <c r="C80" s="3088" t="s">
        <v>2662</v>
      </c>
      <c r="D80" s="3088" t="s">
        <v>2663</v>
      </c>
      <c r="E80" s="3114">
        <v>0.15</v>
      </c>
      <c r="F80" s="3114">
        <v>20</v>
      </c>
    </row>
    <row r="81" spans="1:6" ht="24">
      <c r="A81" s="3114">
        <v>7</v>
      </c>
      <c r="B81" s="3815"/>
      <c r="C81" s="3088" t="s">
        <v>2664</v>
      </c>
      <c r="D81" s="3088" t="s">
        <v>2665</v>
      </c>
      <c r="E81" s="3114">
        <v>0.15</v>
      </c>
      <c r="F81" s="3114">
        <v>20</v>
      </c>
    </row>
    <row r="82" spans="1:6" ht="24">
      <c r="A82" s="3114">
        <v>8</v>
      </c>
      <c r="B82" s="3815"/>
      <c r="C82" s="3088" t="s">
        <v>2666</v>
      </c>
      <c r="D82" s="3088" t="s">
        <v>2667</v>
      </c>
      <c r="E82" s="3114">
        <v>0.1</v>
      </c>
      <c r="F82" s="3114">
        <v>15</v>
      </c>
    </row>
    <row r="83" spans="1:6" ht="24">
      <c r="A83" s="3114">
        <v>9</v>
      </c>
      <c r="B83" s="3815"/>
      <c r="C83" s="3088" t="s">
        <v>2668</v>
      </c>
      <c r="D83" s="3088" t="s">
        <v>2669</v>
      </c>
      <c r="E83" s="3114">
        <v>0.1</v>
      </c>
      <c r="F83" s="3114">
        <v>15</v>
      </c>
    </row>
    <row r="84" spans="1:6" ht="24">
      <c r="A84" s="3114">
        <v>10</v>
      </c>
      <c r="B84" s="3815"/>
      <c r="C84" s="3088" t="s">
        <v>2670</v>
      </c>
      <c r="D84" s="3088" t="s">
        <v>2671</v>
      </c>
      <c r="E84" s="3114">
        <v>0.1</v>
      </c>
      <c r="F84" s="3114">
        <v>15</v>
      </c>
    </row>
    <row r="85" spans="1:6" ht="24">
      <c r="A85" s="3114">
        <v>11</v>
      </c>
      <c r="B85" s="3815"/>
      <c r="C85" s="3088" t="s">
        <v>2672</v>
      </c>
      <c r="D85" s="3088" t="s">
        <v>2673</v>
      </c>
      <c r="E85" s="3114">
        <v>0.1</v>
      </c>
      <c r="F85" s="3114">
        <v>15</v>
      </c>
    </row>
    <row r="86" spans="1:6" ht="24">
      <c r="A86" s="3114">
        <v>12</v>
      </c>
      <c r="B86" s="3815"/>
      <c r="C86" s="3088" t="s">
        <v>2674</v>
      </c>
      <c r="D86" s="3088" t="s">
        <v>2675</v>
      </c>
      <c r="E86" s="3114">
        <v>0.1</v>
      </c>
      <c r="F86" s="3114">
        <v>15</v>
      </c>
    </row>
    <row r="87" spans="1:6" ht="13.5">
      <c r="A87" s="3114">
        <v>13</v>
      </c>
      <c r="B87" s="3815"/>
      <c r="C87" s="3088" t="s">
        <v>2676</v>
      </c>
      <c r="D87" s="3088" t="s">
        <v>2677</v>
      </c>
      <c r="E87" s="3114">
        <v>0.1</v>
      </c>
      <c r="F87" s="3114">
        <v>15</v>
      </c>
    </row>
    <row r="88" spans="1:6" ht="13.5">
      <c r="A88" s="3114">
        <v>14</v>
      </c>
      <c r="B88" s="3815"/>
      <c r="C88" s="3088" t="s">
        <v>2678</v>
      </c>
      <c r="D88" s="3088" t="s">
        <v>2679</v>
      </c>
      <c r="E88" s="3114">
        <v>0.1</v>
      </c>
      <c r="F88" s="3114">
        <v>15</v>
      </c>
    </row>
    <row r="89" spans="1:6" ht="13.5">
      <c r="A89" s="3114">
        <v>15</v>
      </c>
      <c r="B89" s="3815"/>
      <c r="C89" s="3088" t="s">
        <v>2680</v>
      </c>
      <c r="D89" s="3088" t="s">
        <v>2681</v>
      </c>
      <c r="E89" s="3114">
        <v>0.1</v>
      </c>
      <c r="F89" s="3114">
        <v>15</v>
      </c>
    </row>
    <row r="90" spans="1:6" ht="24">
      <c r="A90" s="3114">
        <v>16</v>
      </c>
      <c r="B90" s="3815"/>
      <c r="C90" s="3088" t="s">
        <v>2682</v>
      </c>
      <c r="D90" s="3088" t="s">
        <v>2683</v>
      </c>
      <c r="E90" s="3114">
        <v>0.1</v>
      </c>
      <c r="F90" s="3114">
        <v>15</v>
      </c>
    </row>
    <row r="91" spans="1:6" ht="24">
      <c r="A91" s="3114">
        <v>17</v>
      </c>
      <c r="B91" s="3821"/>
      <c r="C91" s="3088" t="s">
        <v>2684</v>
      </c>
      <c r="D91" s="3088" t="s">
        <v>2685</v>
      </c>
      <c r="E91" s="3114">
        <v>0.1</v>
      </c>
      <c r="F91" s="3114">
        <v>15</v>
      </c>
    </row>
    <row r="92" spans="1:6" ht="13.5">
      <c r="A92" s="3114">
        <v>18</v>
      </c>
      <c r="B92" s="3816" t="s">
        <v>2686</v>
      </c>
      <c r="C92" s="3088" t="s">
        <v>2687</v>
      </c>
      <c r="D92" s="3088" t="s">
        <v>2688</v>
      </c>
      <c r="E92" s="3114">
        <v>0.2</v>
      </c>
      <c r="F92" s="3114">
        <v>25</v>
      </c>
    </row>
    <row r="93" spans="1:6" ht="24">
      <c r="A93" s="3114">
        <v>19</v>
      </c>
      <c r="B93" s="3815"/>
      <c r="C93" s="3088" t="s">
        <v>2689</v>
      </c>
      <c r="D93" s="3088" t="s">
        <v>2690</v>
      </c>
      <c r="E93" s="3114">
        <v>0.2</v>
      </c>
      <c r="F93" s="3114">
        <v>25</v>
      </c>
    </row>
    <row r="94" spans="1:6" ht="13.5">
      <c r="A94" s="3114">
        <v>20</v>
      </c>
      <c r="B94" s="3815"/>
      <c r="C94" s="3088" t="s">
        <v>2691</v>
      </c>
      <c r="D94" s="3088" t="s">
        <v>2692</v>
      </c>
      <c r="E94" s="3114">
        <v>0.15</v>
      </c>
      <c r="F94" s="3114">
        <v>20</v>
      </c>
    </row>
    <row r="95" spans="1:6" ht="13.5">
      <c r="A95" s="3114">
        <v>21</v>
      </c>
      <c r="B95" s="3815"/>
      <c r="C95" s="3088" t="s">
        <v>2693</v>
      </c>
      <c r="D95" s="3088" t="s">
        <v>2694</v>
      </c>
      <c r="E95" s="3114">
        <v>0.15</v>
      </c>
      <c r="F95" s="3114">
        <v>20</v>
      </c>
    </row>
    <row r="96" spans="1:6" ht="13.5">
      <c r="A96" s="3114">
        <v>22</v>
      </c>
      <c r="B96" s="3815"/>
      <c r="C96" s="3088" t="s">
        <v>2695</v>
      </c>
      <c r="D96" s="3088" t="s">
        <v>2696</v>
      </c>
      <c r="E96" s="3114">
        <v>0.15</v>
      </c>
      <c r="F96" s="3114">
        <v>20</v>
      </c>
    </row>
    <row r="97" spans="1:6" ht="36">
      <c r="A97" s="3114">
        <v>23</v>
      </c>
      <c r="B97" s="3815"/>
      <c r="C97" s="3088" t="s">
        <v>2697</v>
      </c>
      <c r="D97" s="3088" t="s">
        <v>2698</v>
      </c>
      <c r="E97" s="3114">
        <v>0.15</v>
      </c>
      <c r="F97" s="3114">
        <v>20</v>
      </c>
    </row>
    <row r="98" spans="1:6" ht="13.5">
      <c r="A98" s="3114">
        <v>24</v>
      </c>
      <c r="B98" s="3815"/>
      <c r="C98" s="3088" t="s">
        <v>2699</v>
      </c>
      <c r="D98" s="3088" t="s">
        <v>2700</v>
      </c>
      <c r="E98" s="3114">
        <v>0.1</v>
      </c>
      <c r="F98" s="3114">
        <v>15</v>
      </c>
    </row>
    <row r="99" spans="1:6" ht="13.5">
      <c r="A99" s="3114">
        <v>25</v>
      </c>
      <c r="B99" s="3815"/>
      <c r="C99" s="3088" t="s">
        <v>2701</v>
      </c>
      <c r="D99" s="3088" t="s">
        <v>2702</v>
      </c>
      <c r="E99" s="3114">
        <v>0.1</v>
      </c>
      <c r="F99" s="3114">
        <v>15</v>
      </c>
    </row>
    <row r="100" spans="1:6" ht="24">
      <c r="A100" s="3114">
        <v>26</v>
      </c>
      <c r="B100" s="3815"/>
      <c r="C100" s="3088" t="s">
        <v>2703</v>
      </c>
      <c r="D100" s="3088" t="s">
        <v>2704</v>
      </c>
      <c r="E100" s="3114">
        <v>0.1</v>
      </c>
      <c r="F100" s="3114">
        <v>15</v>
      </c>
    </row>
    <row r="101" spans="1:6" ht="24">
      <c r="A101" s="3114">
        <v>27</v>
      </c>
      <c r="B101" s="3815"/>
      <c r="C101" s="3088" t="s">
        <v>2705</v>
      </c>
      <c r="D101" s="3088" t="s">
        <v>2706</v>
      </c>
      <c r="E101" s="3114">
        <v>0.1</v>
      </c>
      <c r="F101" s="3114">
        <v>15</v>
      </c>
    </row>
    <row r="102" spans="1:6" ht="13.5">
      <c r="A102" s="3114">
        <v>28</v>
      </c>
      <c r="B102" s="3815"/>
      <c r="C102" s="3088" t="s">
        <v>2707</v>
      </c>
      <c r="D102" s="3088" t="s">
        <v>2708</v>
      </c>
      <c r="E102" s="3114">
        <v>0.1</v>
      </c>
      <c r="F102" s="3114">
        <v>15</v>
      </c>
    </row>
    <row r="103" spans="1:6" ht="13.5">
      <c r="A103" s="3114">
        <v>29</v>
      </c>
      <c r="B103" s="3815"/>
      <c r="C103" s="3088" t="s">
        <v>2709</v>
      </c>
      <c r="D103" s="3088" t="s">
        <v>2710</v>
      </c>
      <c r="E103" s="3114">
        <v>0.1</v>
      </c>
      <c r="F103" s="3114">
        <v>15</v>
      </c>
    </row>
    <row r="104" spans="1:6" ht="13.5">
      <c r="A104" s="3114">
        <v>30</v>
      </c>
      <c r="B104" s="3815"/>
      <c r="C104" s="3088" t="s">
        <v>2711</v>
      </c>
      <c r="D104" s="3088" t="s">
        <v>2712</v>
      </c>
      <c r="E104" s="3114">
        <v>0.1</v>
      </c>
      <c r="F104" s="3114">
        <v>15</v>
      </c>
    </row>
    <row r="105" spans="1:6" ht="24">
      <c r="A105" s="3114">
        <v>31</v>
      </c>
      <c r="B105" s="3815"/>
      <c r="C105" s="3088" t="s">
        <v>2713</v>
      </c>
      <c r="D105" s="3088" t="s">
        <v>2714</v>
      </c>
      <c r="E105" s="3114">
        <v>0.1</v>
      </c>
      <c r="F105" s="3114">
        <v>15</v>
      </c>
    </row>
    <row r="106" spans="1:6" ht="24">
      <c r="A106" s="3114">
        <v>32</v>
      </c>
      <c r="B106" s="3815"/>
      <c r="C106" s="3088" t="s">
        <v>2715</v>
      </c>
      <c r="D106" s="3088" t="s">
        <v>2716</v>
      </c>
      <c r="E106" s="3114">
        <v>0.1</v>
      </c>
      <c r="F106" s="3114">
        <v>15</v>
      </c>
    </row>
    <row r="107" spans="1:6" ht="24">
      <c r="A107" s="3114">
        <v>33</v>
      </c>
      <c r="B107" s="3815"/>
      <c r="C107" s="3088" t="s">
        <v>2717</v>
      </c>
      <c r="D107" s="3088" t="s">
        <v>2718</v>
      </c>
      <c r="E107" s="3114">
        <v>0.1</v>
      </c>
      <c r="F107" s="3114">
        <v>15</v>
      </c>
    </row>
    <row r="108" spans="1:6" ht="24">
      <c r="A108" s="3114">
        <v>34</v>
      </c>
      <c r="B108" s="3821"/>
      <c r="C108" s="3088" t="s">
        <v>2719</v>
      </c>
      <c r="D108" s="3088" t="s">
        <v>2720</v>
      </c>
      <c r="E108" s="3114">
        <v>0.1</v>
      </c>
      <c r="F108" s="3114">
        <v>15</v>
      </c>
    </row>
    <row r="109" spans="1:6" ht="24">
      <c r="A109" s="3114">
        <v>35</v>
      </c>
      <c r="B109" s="3816" t="s">
        <v>2721</v>
      </c>
      <c r="C109" s="3114" t="s">
        <v>2722</v>
      </c>
      <c r="D109" s="3088" t="s">
        <v>2723</v>
      </c>
      <c r="E109" s="3114">
        <v>0.15</v>
      </c>
      <c r="F109" s="3114">
        <v>20</v>
      </c>
    </row>
    <row r="110" spans="1:6" ht="13.5">
      <c r="A110" s="3114">
        <v>36</v>
      </c>
      <c r="B110" s="3815"/>
      <c r="C110" s="3114" t="s">
        <v>2724</v>
      </c>
      <c r="D110" s="3088" t="s">
        <v>2725</v>
      </c>
      <c r="E110" s="3114">
        <v>0.15</v>
      </c>
      <c r="F110" s="3114">
        <v>20</v>
      </c>
    </row>
    <row r="111" spans="1:6" ht="13.5">
      <c r="A111" s="3114">
        <v>37</v>
      </c>
      <c r="B111" s="3815"/>
      <c r="C111" s="3114" t="s">
        <v>2726</v>
      </c>
      <c r="D111" s="3088" t="s">
        <v>2727</v>
      </c>
      <c r="E111" s="3114">
        <v>0.15</v>
      </c>
      <c r="F111" s="3114">
        <v>20</v>
      </c>
    </row>
    <row r="112" spans="1:6" ht="13.5">
      <c r="A112" s="3114">
        <v>38</v>
      </c>
      <c r="B112" s="3815"/>
      <c r="C112" s="3114" t="s">
        <v>2728</v>
      </c>
      <c r="D112" s="3088" t="s">
        <v>2729</v>
      </c>
      <c r="E112" s="3114">
        <v>0.1</v>
      </c>
      <c r="F112" s="3114">
        <v>15</v>
      </c>
    </row>
    <row r="113" spans="1:6" ht="24">
      <c r="A113" s="3114">
        <v>39</v>
      </c>
      <c r="B113" s="3815"/>
      <c r="C113" s="3114" t="s">
        <v>2730</v>
      </c>
      <c r="D113" s="3088" t="s">
        <v>2731</v>
      </c>
      <c r="E113" s="3114">
        <v>0.1</v>
      </c>
      <c r="F113" s="3114">
        <v>15</v>
      </c>
    </row>
    <row r="114" spans="1:6" ht="24">
      <c r="A114" s="3114">
        <v>40</v>
      </c>
      <c r="B114" s="3821"/>
      <c r="C114" s="3114" t="s">
        <v>2732</v>
      </c>
      <c r="D114" s="3088" t="s">
        <v>2733</v>
      </c>
      <c r="E114" s="3114">
        <v>0.1</v>
      </c>
      <c r="F114" s="3114">
        <v>15</v>
      </c>
    </row>
    <row r="115" spans="1:6" ht="13.5">
      <c r="A115" s="3114">
        <v>41</v>
      </c>
      <c r="B115" s="3809" t="s">
        <v>2734</v>
      </c>
      <c r="C115" s="3114" t="s">
        <v>2735</v>
      </c>
      <c r="D115" s="3088" t="s">
        <v>2736</v>
      </c>
      <c r="E115" s="3114">
        <v>0.1</v>
      </c>
      <c r="F115" s="3114">
        <v>15</v>
      </c>
    </row>
    <row r="116" spans="1:6" ht="13.5">
      <c r="A116" s="3114">
        <v>42</v>
      </c>
      <c r="B116" s="3809"/>
      <c r="C116" s="3114" t="s">
        <v>2737</v>
      </c>
      <c r="D116" s="3088" t="s">
        <v>2738</v>
      </c>
      <c r="E116" s="3114">
        <v>0.1</v>
      </c>
      <c r="F116" s="3114">
        <v>15</v>
      </c>
    </row>
    <row r="117" spans="1:6" ht="24">
      <c r="A117" s="3114">
        <v>43</v>
      </c>
      <c r="B117" s="3809"/>
      <c r="C117" s="3114" t="s">
        <v>2739</v>
      </c>
      <c r="D117" s="3088" t="s">
        <v>2740</v>
      </c>
      <c r="E117" s="3114">
        <v>0.1</v>
      </c>
      <c r="F117" s="3114">
        <v>15</v>
      </c>
    </row>
    <row r="118" spans="1:6" ht="13.5">
      <c r="A118" s="3114">
        <v>44</v>
      </c>
      <c r="B118" s="3816" t="s">
        <v>2741</v>
      </c>
      <c r="C118" s="3114" t="s">
        <v>2742</v>
      </c>
      <c r="D118" s="3088" t="s">
        <v>2743</v>
      </c>
      <c r="E118" s="3114">
        <v>0.1</v>
      </c>
      <c r="F118" s="3114">
        <v>15</v>
      </c>
    </row>
    <row r="119" spans="1:6" ht="24">
      <c r="A119" s="3114">
        <v>45</v>
      </c>
      <c r="B119" s="3821"/>
      <c r="C119" s="3088" t="s">
        <v>2744</v>
      </c>
      <c r="D119" s="3088" t="s">
        <v>2745</v>
      </c>
      <c r="E119" s="3114">
        <v>0.1</v>
      </c>
      <c r="F119" s="3114">
        <v>15</v>
      </c>
    </row>
    <row r="120" spans="1:6" ht="24">
      <c r="A120" s="3114">
        <v>46</v>
      </c>
      <c r="B120" s="3816" t="s">
        <v>2746</v>
      </c>
      <c r="C120" s="3114" t="s">
        <v>2747</v>
      </c>
      <c r="D120" s="3088" t="s">
        <v>2748</v>
      </c>
      <c r="E120" s="3114">
        <v>0.1</v>
      </c>
      <c r="F120" s="3114">
        <v>15</v>
      </c>
    </row>
    <row r="121" spans="1:6" ht="24">
      <c r="A121" s="3114">
        <v>47</v>
      </c>
      <c r="B121" s="3821"/>
      <c r="C121" s="3114" t="s">
        <v>2749</v>
      </c>
      <c r="D121" s="3088" t="s">
        <v>2750</v>
      </c>
      <c r="E121" s="3114">
        <v>0.1</v>
      </c>
      <c r="F121" s="3114">
        <v>15</v>
      </c>
    </row>
    <row r="122" spans="1:6" ht="13.5">
      <c r="A122" s="3114">
        <v>48</v>
      </c>
      <c r="B122" s="3816" t="s">
        <v>2751</v>
      </c>
      <c r="C122" s="3114" t="s">
        <v>2752</v>
      </c>
      <c r="D122" s="3088" t="s">
        <v>2753</v>
      </c>
      <c r="E122" s="3114">
        <v>0.1</v>
      </c>
      <c r="F122" s="3114">
        <v>15</v>
      </c>
    </row>
    <row r="123" spans="1:6" ht="13.5">
      <c r="A123" s="3114">
        <v>49</v>
      </c>
      <c r="B123" s="3821"/>
      <c r="C123" s="3114" t="s">
        <v>2754</v>
      </c>
      <c r="D123" s="3088" t="s">
        <v>2755</v>
      </c>
      <c r="E123" s="3114">
        <v>0.1</v>
      </c>
      <c r="F123" s="3114">
        <v>15</v>
      </c>
    </row>
    <row r="124" spans="1:6" ht="24">
      <c r="A124" s="3114">
        <v>50</v>
      </c>
      <c r="B124" s="3809" t="s">
        <v>2756</v>
      </c>
      <c r="C124" s="3114" t="s">
        <v>2757</v>
      </c>
      <c r="D124" s="3088" t="s">
        <v>2758</v>
      </c>
      <c r="E124" s="3114">
        <v>0.1</v>
      </c>
      <c r="F124" s="3114">
        <v>15</v>
      </c>
    </row>
    <row r="125" spans="1:6" ht="24">
      <c r="A125" s="3114">
        <v>51</v>
      </c>
      <c r="B125" s="3809"/>
      <c r="C125" s="3114" t="s">
        <v>2759</v>
      </c>
      <c r="D125" s="3088" t="s">
        <v>2760</v>
      </c>
      <c r="E125" s="3114">
        <v>0.1</v>
      </c>
      <c r="F125" s="3114">
        <v>15</v>
      </c>
    </row>
    <row r="126" spans="1:6" ht="24">
      <c r="A126" s="3114">
        <v>52</v>
      </c>
      <c r="B126" s="3809" t="s">
        <v>2761</v>
      </c>
      <c r="C126" s="3114" t="s">
        <v>2762</v>
      </c>
      <c r="D126" s="3088" t="s">
        <v>2763</v>
      </c>
      <c r="E126" s="3114">
        <v>0.1</v>
      </c>
      <c r="F126" s="3114">
        <v>15</v>
      </c>
    </row>
    <row r="127" spans="1:6" ht="24">
      <c r="A127" s="3114">
        <v>53</v>
      </c>
      <c r="B127" s="3809"/>
      <c r="C127" s="3114" t="s">
        <v>2764</v>
      </c>
      <c r="D127" s="3088" t="s">
        <v>2765</v>
      </c>
      <c r="E127" s="3114">
        <v>0.1</v>
      </c>
      <c r="F127" s="3114">
        <v>15</v>
      </c>
    </row>
    <row r="128" spans="1:6" ht="13.5">
      <c r="A128" s="3114">
        <v>54</v>
      </c>
      <c r="B128" s="3114" t="s">
        <v>2766</v>
      </c>
      <c r="C128" s="3114" t="s">
        <v>2767</v>
      </c>
      <c r="D128" s="3088" t="s">
        <v>2768</v>
      </c>
      <c r="E128" s="3114">
        <v>0.1</v>
      </c>
      <c r="F128" s="3114">
        <v>15</v>
      </c>
    </row>
    <row r="129" spans="1:6" ht="13.5">
      <c r="A129" s="3114">
        <v>55</v>
      </c>
      <c r="B129" s="3809" t="s">
        <v>2769</v>
      </c>
      <c r="C129" s="3114" t="s">
        <v>2770</v>
      </c>
      <c r="D129" s="3088" t="s">
        <v>2771</v>
      </c>
      <c r="E129" s="3114">
        <v>0.1</v>
      </c>
      <c r="F129" s="3114">
        <v>15</v>
      </c>
    </row>
    <row r="130" spans="1:6" ht="13.5">
      <c r="A130" s="3114">
        <v>56</v>
      </c>
      <c r="B130" s="3809"/>
      <c r="C130" s="3114" t="s">
        <v>2772</v>
      </c>
      <c r="D130" s="3088" t="s">
        <v>2773</v>
      </c>
      <c r="E130" s="3114">
        <v>0.1</v>
      </c>
      <c r="F130" s="3114">
        <v>15</v>
      </c>
    </row>
    <row r="131" spans="1:6" ht="24">
      <c r="A131" s="3114">
        <v>57</v>
      </c>
      <c r="B131" s="3809"/>
      <c r="C131" s="3114" t="s">
        <v>2774</v>
      </c>
      <c r="D131" s="3088" t="s">
        <v>2775</v>
      </c>
      <c r="E131" s="3114">
        <v>0.1</v>
      </c>
      <c r="F131" s="3114">
        <v>15</v>
      </c>
    </row>
    <row r="132" spans="1:6" ht="24">
      <c r="A132" s="3114">
        <v>58</v>
      </c>
      <c r="B132" s="3809" t="s">
        <v>2776</v>
      </c>
      <c r="C132" s="3114" t="s">
        <v>2777</v>
      </c>
      <c r="D132" s="3088" t="s">
        <v>2778</v>
      </c>
      <c r="E132" s="3114">
        <v>0.1</v>
      </c>
      <c r="F132" s="3114">
        <v>15</v>
      </c>
    </row>
    <row r="133" spans="1:6" ht="13.5">
      <c r="A133" s="3114">
        <v>59</v>
      </c>
      <c r="B133" s="3809"/>
      <c r="C133" s="3114" t="s">
        <v>2779</v>
      </c>
      <c r="D133" s="3088" t="s">
        <v>2780</v>
      </c>
      <c r="E133" s="3114">
        <v>0.1</v>
      </c>
      <c r="F133" s="3114">
        <v>15</v>
      </c>
    </row>
    <row r="134" spans="1:6" ht="13.5">
      <c r="A134" s="3114">
        <v>60</v>
      </c>
      <c r="B134" s="3816" t="s">
        <v>2781</v>
      </c>
      <c r="C134" s="3114" t="s">
        <v>2782</v>
      </c>
      <c r="D134" s="3088" t="s">
        <v>2783</v>
      </c>
      <c r="E134" s="3114">
        <v>0.1</v>
      </c>
      <c r="F134" s="3114">
        <v>15</v>
      </c>
    </row>
    <row r="135" spans="1:6" ht="13.5">
      <c r="A135" s="3114">
        <v>61</v>
      </c>
      <c r="B135" s="3821"/>
      <c r="C135" s="3114" t="s">
        <v>2784</v>
      </c>
      <c r="D135" s="3088" t="s">
        <v>2785</v>
      </c>
      <c r="E135" s="3114">
        <v>0.1</v>
      </c>
      <c r="F135" s="3114">
        <v>15</v>
      </c>
    </row>
    <row r="136" spans="1:6" ht="24">
      <c r="A136" s="3114">
        <v>62</v>
      </c>
      <c r="B136" s="3114" t="s">
        <v>2786</v>
      </c>
      <c r="C136" s="3114" t="s">
        <v>2787</v>
      </c>
      <c r="D136" s="3088" t="s">
        <v>2788</v>
      </c>
      <c r="E136" s="3114">
        <v>0.1</v>
      </c>
      <c r="F136" s="3114">
        <v>15</v>
      </c>
    </row>
    <row r="137" spans="1:6" ht="13.5">
      <c r="A137" s="3114">
        <v>63</v>
      </c>
      <c r="B137" s="3809" t="s">
        <v>2789</v>
      </c>
      <c r="C137" s="3114" t="s">
        <v>2790</v>
      </c>
      <c r="D137" s="3088" t="s">
        <v>2791</v>
      </c>
      <c r="E137" s="3114">
        <v>0.1</v>
      </c>
      <c r="F137" s="3114">
        <v>15</v>
      </c>
    </row>
    <row r="138" spans="1:6" ht="13.5">
      <c r="A138" s="3114">
        <v>64</v>
      </c>
      <c r="B138" s="3809"/>
      <c r="C138" s="3114" t="s">
        <v>2792</v>
      </c>
      <c r="D138" s="3088" t="s">
        <v>2793</v>
      </c>
      <c r="E138" s="3114">
        <v>0.1</v>
      </c>
      <c r="F138" s="3114">
        <v>15</v>
      </c>
    </row>
    <row r="139" spans="1:6" ht="13.5">
      <c r="A139" s="3114">
        <v>65</v>
      </c>
      <c r="B139" s="3114" t="s">
        <v>2794</v>
      </c>
      <c r="C139" s="3114" t="s">
        <v>2795</v>
      </c>
      <c r="D139" s="3088" t="s">
        <v>2796</v>
      </c>
      <c r="E139" s="3114">
        <v>0.1</v>
      </c>
      <c r="F139" s="3114">
        <v>15</v>
      </c>
    </row>
    <row r="140" spans="1:6" ht="13.5">
      <c r="A140" s="3114"/>
      <c r="B140" s="3114"/>
      <c r="C140" s="3114"/>
      <c r="D140" s="3114"/>
      <c r="E140" s="3114" t="s">
        <v>2797</v>
      </c>
      <c r="F140" s="3114"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2798</v>
      </c>
      <c r="B1" s="3123"/>
      <c r="C1" s="3123"/>
      <c r="D1" s="3123"/>
      <c r="E1" s="3123"/>
      <c r="F1" s="3123"/>
      <c r="G1" s="3123"/>
      <c r="H1" s="3123"/>
      <c r="I1" s="3123"/>
      <c r="J1" s="3123"/>
      <c r="K1" s="3123"/>
      <c r="L1" s="3123"/>
      <c r="M1" s="3123"/>
      <c r="N1" s="745"/>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6">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6">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26780</v>
      </c>
      <c r="C2" s="2" t="s">
        <v>106</v>
      </c>
      <c r="D2" s="196"/>
      <c r="E2" s="196"/>
      <c r="F2" s="196"/>
      <c r="G2" s="196"/>
    </row>
    <row r="3" spans="1:7" s="197" customFormat="1" ht="18" customHeight="1" thickBot="1">
      <c r="A3" s="200" t="s">
        <v>58</v>
      </c>
      <c r="B3" s="201">
        <f ca="1">ROUND(B2*10000/'数据-汇总表'!E3,0)</f>
        <v>865490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160</v>
      </c>
      <c r="F9" s="218"/>
      <c r="G9" s="223"/>
    </row>
    <row r="10" spans="1:7" s="211" customFormat="1" ht="13.5" customHeight="1">
      <c r="A10" s="775" t="s">
        <v>356</v>
      </c>
      <c r="B10" s="221" t="s">
        <v>67</v>
      </c>
      <c r="C10" s="222">
        <f>ROUND(D10*E10/10000,0)</f>
        <v>6</v>
      </c>
      <c r="D10" s="841">
        <f>'数据-汇总表'!E6</f>
        <v>309.42</v>
      </c>
      <c r="E10" s="222">
        <f>'数据-取费表'!B28</f>
        <v>200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6</v>
      </c>
      <c r="D19" s="845">
        <f>'数据-汇总表'!E3</f>
        <v>309.42</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1274</v>
      </c>
      <c r="D22" s="232">
        <f ca="1">C26</f>
        <v>5.9999999999999995E-4</v>
      </c>
      <c r="E22" s="233" t="s">
        <v>99</v>
      </c>
      <c r="F22" s="234">
        <f ca="1">'数据-取费表'!B40</f>
        <v>0.03</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1255</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19</v>
      </c>
      <c r="D25" s="235"/>
      <c r="E25" s="238"/>
      <c r="F25" s="236"/>
      <c r="G25" s="239" t="s">
        <v>83</v>
      </c>
    </row>
    <row r="26" spans="1:7" s="211" customFormat="1">
      <c r="A26" s="776" t="s">
        <v>350</v>
      </c>
      <c r="B26" s="212" t="s">
        <v>422</v>
      </c>
      <c r="C26" s="235">
        <f ca="1">ROUND(IF('数据-取费表'!B22&lt;=1,F21*F22*'数据-取费表'!B23/2,F21*(POWER((1+F22),'数据-取费表'!B23/2)-1)),4)</f>
        <v>5.9999999999999995E-4</v>
      </c>
      <c r="D26" s="235"/>
      <c r="E26" s="238"/>
      <c r="F26" s="236"/>
      <c r="G26" s="240"/>
    </row>
    <row r="27" spans="1:7" s="211" customFormat="1" ht="24.75">
      <c r="A27" s="773" t="s">
        <v>342</v>
      </c>
      <c r="B27" s="241" t="s">
        <v>85</v>
      </c>
      <c r="C27" s="242">
        <f>C28</f>
        <v>2123</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26628</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138</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124</v>
      </c>
      <c r="D34" s="214"/>
      <c r="E34" s="217"/>
      <c r="F34" s="254">
        <f>IF('数据-取费表'!B24=0,1,'数据-取费表'!N16)</f>
        <v>1</v>
      </c>
      <c r="G34" s="216" t="s">
        <v>89</v>
      </c>
    </row>
    <row r="35" spans="1:7" ht="13.5" customHeight="1">
      <c r="A35" s="776" t="s">
        <v>351</v>
      </c>
      <c r="B35" s="212" t="s">
        <v>33</v>
      </c>
      <c r="C35" s="217">
        <f>ROUND(C34*F35,0)</f>
        <v>6</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6</v>
      </c>
      <c r="D37" s="214">
        <f>'数据-汇总表'!E3</f>
        <v>309.42</v>
      </c>
      <c r="E37" s="246">
        <f>'数据-取费表'!B35</f>
        <v>200</v>
      </c>
      <c r="F37" s="256"/>
      <c r="G37" s="258" t="s">
        <v>92</v>
      </c>
    </row>
    <row r="38" spans="1:7" ht="13.5" customHeight="1">
      <c r="A38" s="776" t="s">
        <v>354</v>
      </c>
      <c r="B38" s="212" t="s">
        <v>36</v>
      </c>
      <c r="C38" s="217">
        <f>ROUND(C34*F38,0)</f>
        <v>2</v>
      </c>
      <c r="D38" s="217"/>
      <c r="E38" s="217"/>
      <c r="F38" s="256">
        <f>'数据-取费表'!B36</f>
        <v>0.02</v>
      </c>
      <c r="G38" s="216" t="s">
        <v>90</v>
      </c>
    </row>
    <row r="39" spans="1:7" s="211" customFormat="1" ht="13.5" customHeight="1">
      <c r="A39" s="773" t="s">
        <v>338</v>
      </c>
      <c r="B39" s="207" t="s">
        <v>77</v>
      </c>
      <c r="C39" s="229">
        <f>ROUND(C33*F20,0)</f>
        <v>4</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4</v>
      </c>
      <c r="D41" s="232">
        <f ca="1">C44</f>
        <v>5.9999999999999995E-4</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4</v>
      </c>
      <c r="D42" s="235"/>
      <c r="E42" s="235"/>
      <c r="F42" s="236"/>
      <c r="G42" s="3682" t="s">
        <v>94</v>
      </c>
    </row>
    <row r="43" spans="1:7" ht="13.5" customHeight="1">
      <c r="A43" s="776" t="s">
        <v>347</v>
      </c>
      <c r="B43" s="212" t="s">
        <v>426</v>
      </c>
      <c r="C43" s="235">
        <f ca="1">ROUND(IF('数据-取费表'!B22&lt;=1,C39*F22*'数据-取费表'!B21/2,C39*(POWER((1+F22),'数据-取费表'!B21/2)-1)),0)</f>
        <v>0</v>
      </c>
      <c r="D43" s="235"/>
      <c r="E43" s="235"/>
      <c r="F43" s="236"/>
      <c r="G43" s="3683"/>
    </row>
    <row r="44" spans="1:7" ht="13.5" customHeight="1">
      <c r="A44" s="776" t="s">
        <v>348</v>
      </c>
      <c r="B44" s="212" t="s">
        <v>428</v>
      </c>
      <c r="C44" s="235">
        <f ca="1">ROUND(IF('数据-取费表'!B22&lt;=1,C40*F22*'数据-取费表'!B21/2,C40*(POWER((1+F22),'数据-取费表'!B21/2)-1)),4)</f>
        <v>5.9999999999999995E-4</v>
      </c>
      <c r="D44" s="235"/>
      <c r="E44" s="235"/>
      <c r="F44" s="236"/>
      <c r="G44" s="3684"/>
    </row>
    <row r="45" spans="1:7" s="211" customFormat="1" ht="13.5" customHeight="1">
      <c r="A45" s="773" t="s">
        <v>341</v>
      </c>
      <c r="B45" s="241" t="s">
        <v>85</v>
      </c>
      <c r="C45" s="242">
        <f>C46</f>
        <v>14</v>
      </c>
      <c r="D45" s="232">
        <f>C47</f>
        <v>2E-3</v>
      </c>
      <c r="E45" s="233" t="s">
        <v>102</v>
      </c>
      <c r="F45" s="243"/>
      <c r="G45" s="244" t="s">
        <v>434</v>
      </c>
    </row>
    <row r="46" spans="1:7" s="211" customFormat="1" ht="13.5" customHeight="1">
      <c r="A46" s="776" t="s">
        <v>349</v>
      </c>
      <c r="B46" s="245" t="s">
        <v>427</v>
      </c>
      <c r="C46" s="246">
        <f>ROUND((C33+C39)*F27,0)</f>
        <v>14</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173</v>
      </c>
      <c r="D49" s="229"/>
      <c r="E49" s="229"/>
      <c r="F49" s="261"/>
      <c r="G49" s="231" t="s">
        <v>435</v>
      </c>
    </row>
    <row r="50" spans="1:7" s="255" customFormat="1" ht="24">
      <c r="A50" s="773" t="s">
        <v>344</v>
      </c>
      <c r="B50" s="207" t="s">
        <v>97</v>
      </c>
      <c r="C50" s="229"/>
      <c r="D50" s="229"/>
      <c r="E50" s="229"/>
      <c r="F50" s="261">
        <f>IF('数据-取费表'!B24=0,'数据-取费表'!N16,1)</f>
        <v>0.88</v>
      </c>
      <c r="G50" s="244" t="s">
        <v>98</v>
      </c>
    </row>
    <row r="51" spans="1:7" ht="16.5" customHeight="1">
      <c r="A51" s="773" t="s">
        <v>345</v>
      </c>
      <c r="B51" s="207" t="s">
        <v>105</v>
      </c>
      <c r="C51" s="229">
        <f ca="1">ROUND(C49*F50,0)</f>
        <v>152</v>
      </c>
      <c r="D51" s="229"/>
      <c r="E51" s="229"/>
      <c r="F51" s="261"/>
      <c r="G51" s="231" t="s">
        <v>37</v>
      </c>
    </row>
    <row r="52" spans="1:7" s="205" customFormat="1" ht="16.5" thickBot="1">
      <c r="A52" s="262" t="s">
        <v>38</v>
      </c>
      <c r="B52" s="263"/>
      <c r="C52" s="264">
        <f ca="1">C31+C51</f>
        <v>26780</v>
      </c>
      <c r="D52" s="263"/>
      <c r="E52" s="263"/>
      <c r="F52" s="263"/>
      <c r="G52" s="265"/>
    </row>
    <row r="55" spans="1:7" ht="15">
      <c r="B55" s="267" t="s">
        <v>39</v>
      </c>
      <c r="C55" s="268"/>
    </row>
    <row r="56" spans="1:7">
      <c r="B56" s="270" t="s">
        <v>40</v>
      </c>
      <c r="C56" s="271">
        <f ca="1">ROUND(C51/C52,3)</f>
        <v>6.0000000000000001E-3</v>
      </c>
    </row>
    <row r="57" spans="1:7">
      <c r="B57" s="270" t="s">
        <v>41</v>
      </c>
      <c r="C57" s="272">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89"/>
      <c r="B4" s="3503" t="s">
        <v>917</v>
      </c>
      <c r="C4" s="3503"/>
      <c r="D4" s="3503"/>
      <c r="E4" s="1489"/>
    </row>
    <row r="5" spans="1:5" ht="16.5" thickTop="1">
      <c r="A5" s="1487"/>
      <c r="B5" s="3501" t="s">
        <v>909</v>
      </c>
      <c r="C5" s="1490" t="s">
        <v>910</v>
      </c>
      <c r="D5" s="846">
        <f ca="1">结果表!H101</f>
        <v>260</v>
      </c>
      <c r="E5" s="1487"/>
    </row>
    <row r="6" spans="1:5" ht="15.75">
      <c r="A6" s="1487"/>
      <c r="B6" s="3501"/>
      <c r="C6" s="1490" t="s">
        <v>911</v>
      </c>
      <c r="D6" s="846" t="str">
        <f ca="1">NUMBERSTRING(INT(D5*10000),2)&amp;"元整"</f>
        <v>贰佰陆拾万元整</v>
      </c>
      <c r="E6" s="1487"/>
    </row>
    <row r="7" spans="1:5" ht="15.75">
      <c r="A7" s="1487"/>
      <c r="B7" s="3506"/>
      <c r="C7" s="1491" t="s">
        <v>912</v>
      </c>
      <c r="D7" s="847">
        <f ca="1">结果表!H102</f>
        <v>8416</v>
      </c>
      <c r="E7" s="1487"/>
    </row>
    <row r="8" spans="1:5" ht="15.75">
      <c r="A8" s="1487"/>
      <c r="B8" s="3507" t="str">
        <f>结果表!E103</f>
        <v>2.估价师知悉的法定优先受偿款</v>
      </c>
      <c r="C8" s="1492" t="s">
        <v>913</v>
      </c>
      <c r="D8" s="847">
        <f>结果表!H103</f>
        <v>0</v>
      </c>
      <c r="E8" s="1487"/>
    </row>
    <row r="9" spans="1:5" ht="15.75">
      <c r="A9" s="1487"/>
      <c r="B9" s="3509"/>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0" t="str">
        <f>结果表!E107</f>
        <v>3.房地产抵押价值</v>
      </c>
      <c r="C13" s="1495" t="s">
        <v>910</v>
      </c>
      <c r="D13" s="849">
        <f ca="1">结果表!H107</f>
        <v>260</v>
      </c>
      <c r="E13" s="1487"/>
    </row>
    <row r="14" spans="1:5" ht="15.75">
      <c r="A14" s="1487"/>
      <c r="B14" s="3501"/>
      <c r="C14" s="1490" t="s">
        <v>911</v>
      </c>
      <c r="D14" s="846" t="str">
        <f ca="1">NUMBERSTRING(INT(D13*10000),2)&amp;"元整"</f>
        <v>贰佰陆拾万元整</v>
      </c>
      <c r="E14" s="1487"/>
    </row>
    <row r="15" spans="1:5" ht="15">
      <c r="A15" s="1487"/>
      <c r="B15" s="3506"/>
      <c r="C15" s="1491" t="s">
        <v>921</v>
      </c>
      <c r="D15" s="855">
        <f ca="1">结果表!H108</f>
        <v>8416</v>
      </c>
      <c r="E15" s="1487"/>
    </row>
    <row r="16" spans="1:5" ht="15">
      <c r="A16" s="1487"/>
      <c r="B16" s="3507" t="str">
        <f>结果表!E109</f>
        <v>——</v>
      </c>
      <c r="C16" s="1495" t="s">
        <v>922</v>
      </c>
      <c r="D16" s="1496" t="str">
        <f>结果表!H109</f>
        <v>——</v>
      </c>
      <c r="E16" s="1487"/>
    </row>
    <row r="17" spans="1:5" ht="15.75">
      <c r="A17" s="1487"/>
      <c r="B17" s="3508"/>
      <c r="C17" s="1490" t="s">
        <v>923</v>
      </c>
      <c r="D17" s="846" t="e">
        <f>NUMBERSTRING(INT(D16*10000),2)&amp;"元整"</f>
        <v>#VALUE!</v>
      </c>
      <c r="E17" s="1487"/>
    </row>
    <row r="18" spans="1:5" ht="15">
      <c r="A18" s="1487"/>
      <c r="B18" s="3509"/>
      <c r="C18" s="1491" t="s">
        <v>912</v>
      </c>
      <c r="D18" s="855" t="str">
        <f>结果表!H110</f>
        <v>——</v>
      </c>
      <c r="E18" s="1487"/>
    </row>
    <row r="19" spans="1:5" ht="15.75">
      <c r="A19" s="1487"/>
      <c r="B19" s="3500" t="str">
        <f>结果表!E111</f>
        <v>——</v>
      </c>
      <c r="C19" s="1495" t="s">
        <v>910</v>
      </c>
      <c r="D19" s="847" t="str">
        <f>结果表!H111</f>
        <v>——</v>
      </c>
      <c r="E19" s="1487"/>
    </row>
    <row r="20" spans="1:5" ht="15.75">
      <c r="A20" s="1487"/>
      <c r="B20" s="3501"/>
      <c r="C20" s="1490" t="s">
        <v>923</v>
      </c>
      <c r="D20" s="846" t="e">
        <f>NUMBERSTRING(INT(D19*10000),2)&amp;"元整"</f>
        <v>#VALUE!</v>
      </c>
      <c r="E20" s="1487"/>
    </row>
    <row r="21" spans="1:5" ht="15.75" thickBot="1">
      <c r="A21" s="1487"/>
      <c r="B21" s="3502"/>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3181</v>
      </c>
      <c r="B1" s="3822"/>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3" t="s">
        <v>3232</v>
      </c>
      <c r="B1" s="3823"/>
      <c r="C1" s="3823"/>
      <c r="D1" s="3823"/>
      <c r="E1" s="3823"/>
      <c r="F1" s="3824"/>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17">
        <f>基准地价修正!G23</f>
        <v>45888</v>
      </c>
      <c r="B1" s="3206" t="s">
        <v>3378</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44"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c r="AF2" t="s">
        <v>3405</v>
      </c>
      <c r="AG2" t="s">
        <v>673</v>
      </c>
      <c r="AH2" t="s">
        <v>21</v>
      </c>
      <c r="AI2" t="s">
        <v>3406</v>
      </c>
      <c r="AJ2" t="s">
        <v>3</v>
      </c>
      <c r="AK2" t="s">
        <v>3407</v>
      </c>
      <c r="AM2" t="s">
        <v>3405</v>
      </c>
      <c r="AN2" t="s">
        <v>673</v>
      </c>
      <c r="AO2" t="s">
        <v>21</v>
      </c>
      <c r="AP2" t="s">
        <v>3406</v>
      </c>
      <c r="AQ2" t="s">
        <v>3</v>
      </c>
      <c r="AR2" t="s">
        <v>3407</v>
      </c>
    </row>
    <row r="3" spans="1:44" s="3157" customFormat="1" ht="12.75">
      <c r="A3" s="3145" t="s">
        <v>2819</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3404</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3403</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3402</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3410</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3409</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3382</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3376</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3375</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3371</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3370</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3368</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3367</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3366</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3364</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3355</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2820</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2821</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2822</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2823</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2824</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3381</v>
      </c>
    </row>
    <row r="27" spans="1:44" s="3005" customFormat="1">
      <c r="I27" s="3204" t="s">
        <v>2825</v>
      </c>
    </row>
    <row r="28" spans="1:44" s="3005" customFormat="1"/>
    <row r="29" spans="1:44" s="3205" customFormat="1" ht="12.75">
      <c r="B29" s="3206" t="s">
        <v>3379</v>
      </c>
      <c r="C29" s="3207"/>
      <c r="D29" s="3207"/>
      <c r="E29" s="3207"/>
      <c r="F29" s="3207"/>
      <c r="G29" s="3207"/>
      <c r="H29" s="3207"/>
      <c r="I29" s="3207"/>
      <c r="J29" s="3161"/>
      <c r="K29" s="3207" t="s">
        <v>2826</v>
      </c>
      <c r="L29" s="3207"/>
      <c r="M29" s="3207"/>
      <c r="N29" s="3207"/>
      <c r="O29" s="3207"/>
      <c r="P29" s="3207"/>
      <c r="Q29" s="3161"/>
      <c r="R29" s="3825" t="s">
        <v>2827</v>
      </c>
      <c r="S29" s="3826"/>
      <c r="T29" s="3826"/>
      <c r="U29" s="3826"/>
      <c r="V29" s="3826"/>
      <c r="W29" s="3826"/>
      <c r="X29" s="3161"/>
      <c r="Y29" s="3825" t="s">
        <v>2828</v>
      </c>
      <c r="Z29" s="3826"/>
      <c r="AA29" s="3826"/>
      <c r="AB29" s="3826"/>
      <c r="AC29" s="3826"/>
      <c r="AD29" s="3826"/>
    </row>
    <row r="30" spans="1:44" s="3139" customFormat="1" ht="14.25" thickBot="1">
      <c r="B30" s="3140"/>
      <c r="C30" s="3141"/>
      <c r="D30" s="3142" t="s">
        <v>2829</v>
      </c>
      <c r="E30" s="3143" t="s">
        <v>2830</v>
      </c>
      <c r="F30" s="3143" t="s">
        <v>2831</v>
      </c>
      <c r="G30" s="3143" t="s">
        <v>2832</v>
      </c>
      <c r="H30" s="3143"/>
      <c r="I30" s="3143" t="s">
        <v>2833</v>
      </c>
      <c r="J30" s="3144"/>
      <c r="K30" s="3142" t="s">
        <v>2829</v>
      </c>
      <c r="L30" s="3143" t="s">
        <v>2830</v>
      </c>
      <c r="M30" s="3143" t="s">
        <v>2831</v>
      </c>
      <c r="N30" s="3143" t="s">
        <v>2832</v>
      </c>
      <c r="O30" s="3143"/>
      <c r="P30" s="3143" t="s">
        <v>2833</v>
      </c>
      <c r="Q30" s="3144"/>
      <c r="R30" s="3142" t="s">
        <v>2829</v>
      </c>
      <c r="S30" s="3143" t="s">
        <v>2830</v>
      </c>
      <c r="T30" s="3143" t="s">
        <v>2831</v>
      </c>
      <c r="U30" s="3143" t="s">
        <v>2832</v>
      </c>
      <c r="V30" s="3143"/>
      <c r="W30" s="3143" t="s">
        <v>2833</v>
      </c>
      <c r="X30" s="3144"/>
      <c r="Y30" s="3142" t="s">
        <v>2829</v>
      </c>
      <c r="Z30" s="3143" t="s">
        <v>2830</v>
      </c>
      <c r="AA30" s="3143" t="s">
        <v>2831</v>
      </c>
      <c r="AB30" s="3143" t="s">
        <v>2832</v>
      </c>
      <c r="AC30" s="3143"/>
      <c r="AD30" s="3143" t="s">
        <v>2833</v>
      </c>
      <c r="AG30" t="s">
        <v>673</v>
      </c>
      <c r="AH30" t="s">
        <v>21</v>
      </c>
      <c r="AI30" t="s">
        <v>3406</v>
      </c>
      <c r="AJ30"/>
      <c r="AK30" t="s">
        <v>3407</v>
      </c>
      <c r="AN30" t="s">
        <v>673</v>
      </c>
      <c r="AO30" t="s">
        <v>21</v>
      </c>
      <c r="AP30" t="s">
        <v>3406</v>
      </c>
      <c r="AQ30"/>
      <c r="AR30" t="s">
        <v>3407</v>
      </c>
    </row>
    <row r="31" spans="1:44" s="3157" customFormat="1" ht="12.75">
      <c r="A31" s="3145" t="s">
        <v>2834</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3404</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3403</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3411</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3408</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3409</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3373</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3377</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3374</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3372</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3370</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3369</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3367</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3366</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3365</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3355</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2835</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2836</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2837</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2838</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2824</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2308</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2307</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0" t="s">
        <v>2839</v>
      </c>
      <c r="B1" s="3840"/>
      <c r="C1" s="3840"/>
      <c r="D1" s="3840"/>
      <c r="E1" s="3840"/>
      <c r="F1" s="3840"/>
      <c r="G1" s="3841"/>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838"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839"/>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45888</v>
      </c>
      <c r="D1" s="1298" t="s">
        <v>603</v>
      </c>
      <c r="E1" s="1293">
        <f>'数据-取费表'!B22</f>
        <v>2</v>
      </c>
      <c r="F1" s="1298" t="s">
        <v>604</v>
      </c>
      <c r="G1" s="1294">
        <f ca="1">INDIRECT("d"&amp;$K$1)/100</f>
        <v>0.03</v>
      </c>
      <c r="H1" s="1298" t="s">
        <v>634</v>
      </c>
      <c r="I1" s="1294">
        <f ca="1">F4/100</f>
        <v>1.4999999999999999E-2</v>
      </c>
      <c r="J1" s="1299">
        <f>IF(C1&gt;C13,0,MATCH(C1,C$13:C$115,-1))+IF(SUMIF(C13:C115,C1,D13:D115)=0,13,12)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2309</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24" sqref="A224"/>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workbookViewId="0">
      <selection activeCell="A135" sqref="A135"/>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Q56" sqref="Q5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0" t="s">
        <v>925</v>
      </c>
      <c r="E3" s="850" t="s">
        <v>931</v>
      </c>
      <c r="F3" s="850" t="s">
        <v>925</v>
      </c>
      <c r="G3" s="850" t="s">
        <v>926</v>
      </c>
      <c r="H3" s="850" t="s">
        <v>925</v>
      </c>
      <c r="I3" s="850" t="s">
        <v>926</v>
      </c>
    </row>
    <row r="4" spans="1:9" ht="45">
      <c r="A4" s="1501" t="str">
        <f>项目基本情况!S2</f>
        <v>北京市大兴区马朱路长子营段16号院17号楼3层301生产车间用房房地产</v>
      </c>
      <c r="B4" s="850">
        <f>项目基本情况!C17</f>
        <v>309.42</v>
      </c>
      <c r="C4" s="850">
        <f>项目基本情况!C18</f>
        <v>0</v>
      </c>
      <c r="D4" s="850">
        <f ca="1">结果表!D118</f>
        <v>-42</v>
      </c>
      <c r="E4" s="850">
        <f ca="1">结果表!E118</f>
        <v>-1347</v>
      </c>
      <c r="F4" s="850">
        <f ca="1">结果表!F118</f>
        <v>302</v>
      </c>
      <c r="G4" s="850">
        <f ca="1">结果表!G118</f>
        <v>9763</v>
      </c>
      <c r="H4" s="850">
        <f ca="1">结果表!H118</f>
        <v>260</v>
      </c>
      <c r="I4" s="850">
        <f ca="1">结果表!I118</f>
        <v>8416</v>
      </c>
    </row>
    <row r="5" spans="1:9" ht="30" customHeight="1">
      <c r="A5" s="3512" t="s">
        <v>927</v>
      </c>
      <c r="B5" s="3512"/>
      <c r="C5" s="3512"/>
      <c r="D5" s="3512" t="e">
        <f ca="1">结果表!D119</f>
        <v>#NUM!</v>
      </c>
      <c r="E5" s="3512"/>
      <c r="F5" s="3512" t="str">
        <f ca="1">结果表!F119</f>
        <v>叁佰零贰万元整</v>
      </c>
      <c r="G5" s="3512"/>
      <c r="H5" s="3512" t="str">
        <f ca="1">结果表!H119</f>
        <v>贰佰陆拾万元整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f ca="1">结果表!D122</f>
        <v>260</v>
      </c>
      <c r="E8" s="3513"/>
      <c r="F8" s="3513"/>
      <c r="G8" s="3513"/>
      <c r="H8" s="3513"/>
      <c r="I8" s="3513"/>
    </row>
    <row r="9" spans="1:9" ht="15">
      <c r="A9" s="3512" t="s">
        <v>927</v>
      </c>
      <c r="B9" s="3512"/>
      <c r="C9" s="3512"/>
      <c r="D9" s="3512" t="str">
        <f ca="1">结果表!D123</f>
        <v>贰佰陆拾万元整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9" t="s">
        <v>949</v>
      </c>
      <c r="B1" s="3519"/>
      <c r="C1" s="3519"/>
      <c r="D1" s="3519"/>
    </row>
    <row r="2" spans="1:4" ht="18">
      <c r="A2" s="3520" t="s">
        <v>933</v>
      </c>
      <c r="B2" s="3520"/>
      <c r="C2" s="3520"/>
      <c r="D2" s="352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0" t="s">
        <v>939</v>
      </c>
      <c r="B6" s="3520"/>
      <c r="C6" s="3520"/>
      <c r="D6" s="3520"/>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3" t="s">
        <v>956</v>
      </c>
      <c r="B15" s="3528" t="s">
        <v>109</v>
      </c>
      <c r="C15" s="3529"/>
    </row>
    <row r="16" spans="1:7" ht="13.5">
      <c r="A16" s="3534"/>
      <c r="B16" s="3528" t="s">
        <v>42</v>
      </c>
      <c r="C16" s="3529"/>
    </row>
    <row r="17" spans="1:3" ht="13.5">
      <c r="A17" s="3534"/>
      <c r="B17" s="3531" t="s">
        <v>957</v>
      </c>
      <c r="C17" s="1528" t="s">
        <v>956</v>
      </c>
    </row>
    <row r="18" spans="1:3" ht="13.5">
      <c r="A18" s="3534"/>
      <c r="B18" s="3531"/>
      <c r="C18" s="1528" t="s">
        <v>958</v>
      </c>
    </row>
    <row r="19" spans="1:3" ht="13.5">
      <c r="A19" s="3534"/>
      <c r="B19" s="3531"/>
      <c r="C19" s="1528" t="s">
        <v>959</v>
      </c>
    </row>
    <row r="20" spans="1:3" ht="13.5">
      <c r="A20" s="3535"/>
      <c r="B20" s="3530" t="s">
        <v>960</v>
      </c>
      <c r="C20" s="3529"/>
    </row>
    <row r="21" spans="1:3" ht="13.5">
      <c r="A21" s="1529" t="s">
        <v>961</v>
      </c>
      <c r="B21" s="1530"/>
      <c r="C21" s="1531"/>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28" t="s">
        <v>967</v>
      </c>
    </row>
    <row r="26" spans="1:3" ht="13.5">
      <c r="A26" s="3532"/>
      <c r="B26" s="3531"/>
      <c r="C26" s="1528" t="s">
        <v>968</v>
      </c>
    </row>
    <row r="27" spans="1:3" ht="13.5">
      <c r="A27" s="3532"/>
      <c r="B27" s="3531"/>
      <c r="C27" s="1528" t="s">
        <v>969</v>
      </c>
    </row>
    <row r="28" spans="1:3" ht="13.5">
      <c r="A28" s="3532"/>
      <c r="B28" s="3531"/>
      <c r="C28" s="1528" t="s">
        <v>970</v>
      </c>
    </row>
    <row r="29" spans="1:3" ht="13.5">
      <c r="A29" s="3532"/>
      <c r="B29" s="3531"/>
      <c r="C29" s="1528" t="s">
        <v>971</v>
      </c>
    </row>
    <row r="30" spans="1:3" ht="13.5">
      <c r="A30" s="3532"/>
      <c r="B30" s="3531"/>
      <c r="C30" s="1528" t="s">
        <v>972</v>
      </c>
    </row>
    <row r="31" spans="1:3" ht="13.5">
      <c r="A31" s="3532"/>
      <c r="B31" s="3531"/>
      <c r="C31" s="1528" t="s">
        <v>973</v>
      </c>
    </row>
    <row r="32" spans="1:3" ht="13.5">
      <c r="A32" s="3532"/>
      <c r="B32" s="3531"/>
      <c r="C32" s="1528" t="s">
        <v>974</v>
      </c>
    </row>
    <row r="33" spans="1:3" ht="13.5">
      <c r="A33" s="3532"/>
      <c r="B33" s="353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45888</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t="str">
        <f ca="1">IF(C9&lt;B2,"已过期",1120060040)</f>
        <v>已过期</v>
      </c>
      <c r="C9" s="2346">
        <v>45592</v>
      </c>
      <c r="D9" s="2342" t="str">
        <f t="shared" ca="1" si="0"/>
        <v>陈颖（注册号：已过期）</v>
      </c>
      <c r="E9" s="2343" t="s">
        <v>2153</v>
      </c>
      <c r="F9" s="1300">
        <f ca="1">IF(G9&lt;B2,"已过期",2004110096)</f>
        <v>2004110096</v>
      </c>
      <c r="G9" s="2344">
        <v>47118</v>
      </c>
      <c r="H9" s="2345" t="str">
        <f t="shared" ca="1" si="1"/>
        <v>陈颖（注册号：2004110096）</v>
      </c>
    </row>
    <row r="10" spans="1:8" ht="24" customHeight="1">
      <c r="A10" s="1300" t="s">
        <v>2154</v>
      </c>
      <c r="B10" s="1300" t="str">
        <f ca="1">IF(C10&lt;B2,"已过期",1120100036)</f>
        <v>已过期</v>
      </c>
      <c r="C10" s="2346">
        <v>45752</v>
      </c>
      <c r="D10" s="2342" t="str">
        <f t="shared" ca="1" si="0"/>
        <v>崔锴（注册号：已过期）</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2437</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6" t="s">
        <v>2160</v>
      </c>
      <c r="B17" s="3536"/>
      <c r="C17" s="3536"/>
      <c r="D17" s="3536"/>
      <c r="E17" s="3536"/>
      <c r="F17" s="3536"/>
      <c r="G17" s="3536"/>
      <c r="H17" s="3536"/>
    </row>
    <row r="18" spans="1:8" ht="24" customHeight="1">
      <c r="A18" s="3537" t="s">
        <v>2161</v>
      </c>
      <c r="B18" s="3537"/>
      <c r="C18" s="3537"/>
      <c r="D18" s="2339"/>
      <c r="E18" s="3538" t="s">
        <v>2162</v>
      </c>
      <c r="F18" s="3537"/>
      <c r="G18" s="353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2025-08-19T08:11:57Z</dcterms:modified>
</cp:coreProperties>
</file>