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62A1AC4F-F527-47CF-8C6D-834416A0CAC2}" xr6:coauthVersionLast="47" xr6:coauthVersionMax="47" xr10:uidLastSave="{00000000-0000-0000-0000-000000000000}"/>
  <bookViews>
    <workbookView xWindow="8292" yWindow="420" windowWidth="12708" windowHeight="11628"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办公" sheetId="34" r:id="rId20"/>
    <sheet name="成本法 (元)" sheetId="69" r:id="rId21"/>
    <sheet name="假设开发法" sheetId="12" state="hidden" r:id="rId22"/>
    <sheet name="收益法" sheetId="15" state="hidden" r:id="rId23"/>
    <sheet name="基准地价修正" sheetId="43" r:id="rId24"/>
    <sheet name="典型户型修正 " sheetId="84" r:id="rId25"/>
    <sheet name="面积信息" sheetId="80" r:id="rId26"/>
    <sheet name="项目信息" sheetId="81" r:id="rId27"/>
    <sheet name="售价案例" sheetId="83" r:id="rId28"/>
    <sheet name="租金案例" sheetId="82"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 localSheetId="24">'典型户型修正 '!$5:$5</definedName>
    <definedName name="一修多修正项2">#REF!</definedName>
    <definedName name="一修多修正项3" localSheetId="24">'典型户型修正 '!$7:$7</definedName>
    <definedName name="一修多修正项3">#REF!</definedName>
    <definedName name="一修多修正项4" localSheetId="24">'典型户型修正 '!$9:$9</definedName>
    <definedName name="一修多修正项4">#REF!</definedName>
    <definedName name="一修多修正项5" localSheetId="24">'典型户型修正 '!$11:$11</definedName>
    <definedName name="一修多修正项5">#REF!</definedName>
    <definedName name="一修多修正项6" localSheetId="24">'典型户型修正 '!$13:$13</definedName>
    <definedName name="一修多修正项6">#REF!</definedName>
    <definedName name="一修多修正项7" localSheetId="24">'典型户型修正 '!$15:$15</definedName>
    <definedName name="一修多修正项7">#REF!</definedName>
    <definedName name="一修多修正项8" localSheetId="24">'典型户型修正 '!$17:$17</definedName>
    <definedName name="一修多修正项8">#REF!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0" i="80" l="1"/>
  <c r="C75" i="9"/>
  <c r="C66" i="9"/>
  <c r="B26" i="84"/>
  <c r="B25" i="84"/>
  <c r="A26" i="84"/>
  <c r="A25" i="84"/>
  <c r="B24" i="84"/>
  <c r="F19" i="6"/>
  <c r="C19" i="6"/>
  <c r="H75" i="9"/>
  <c r="A19" i="80"/>
  <c r="K9" i="80" s="1"/>
  <c r="K8" i="80"/>
  <c r="K7" i="80"/>
  <c r="K3" i="80"/>
  <c r="K4" i="80"/>
  <c r="T5" i="84"/>
  <c r="D5" i="84"/>
  <c r="E5" i="84"/>
  <c r="F5" i="84"/>
  <c r="C5" i="84"/>
  <c r="H3" i="84"/>
  <c r="H4" i="84"/>
  <c r="D3" i="84"/>
  <c r="E3" i="84"/>
  <c r="F3" i="84"/>
  <c r="G3" i="84"/>
  <c r="F2" i="84" s="1"/>
  <c r="D4" i="84"/>
  <c r="E4" i="84"/>
  <c r="F4" i="84"/>
  <c r="G4" i="84"/>
  <c r="C4" i="84"/>
  <c r="C3" i="84"/>
  <c r="I5" i="34"/>
  <c r="G5" i="34"/>
  <c r="E5" i="34"/>
  <c r="R524" i="84"/>
  <c r="S524" i="84" s="1"/>
  <c r="Q524" i="84"/>
  <c r="O524" i="84"/>
  <c r="M524" i="84"/>
  <c r="K524" i="84"/>
  <c r="I524" i="84"/>
  <c r="G524" i="84"/>
  <c r="C524" i="84"/>
  <c r="R523" i="84"/>
  <c r="S523" i="84" s="1"/>
  <c r="Q523" i="84"/>
  <c r="O523" i="84"/>
  <c r="M523" i="84"/>
  <c r="K523" i="84"/>
  <c r="I523" i="84"/>
  <c r="G523" i="84"/>
  <c r="C523" i="84"/>
  <c r="R522" i="84"/>
  <c r="S522" i="84" s="1"/>
  <c r="Q522" i="84"/>
  <c r="O522" i="84"/>
  <c r="M522" i="84"/>
  <c r="K522" i="84"/>
  <c r="I522" i="84"/>
  <c r="G522" i="84"/>
  <c r="C522" i="84"/>
  <c r="R521" i="84"/>
  <c r="S521" i="84" s="1"/>
  <c r="Q521" i="84"/>
  <c r="O521" i="84"/>
  <c r="M521" i="84"/>
  <c r="K521" i="84"/>
  <c r="I521" i="84"/>
  <c r="G521" i="84"/>
  <c r="C521" i="84"/>
  <c r="R520" i="84"/>
  <c r="S520" i="84" s="1"/>
  <c r="Q520" i="84"/>
  <c r="O520" i="84"/>
  <c r="M520" i="84"/>
  <c r="K520" i="84"/>
  <c r="I520" i="84"/>
  <c r="G520" i="84"/>
  <c r="C520" i="84"/>
  <c r="R519" i="84"/>
  <c r="S519" i="84" s="1"/>
  <c r="Q519" i="84"/>
  <c r="O519" i="84"/>
  <c r="M519" i="84"/>
  <c r="K519" i="84"/>
  <c r="I519" i="84"/>
  <c r="G519" i="84"/>
  <c r="C519" i="84"/>
  <c r="R518" i="84"/>
  <c r="S518" i="84" s="1"/>
  <c r="Q518" i="84"/>
  <c r="O518" i="84"/>
  <c r="M518" i="84"/>
  <c r="K518" i="84"/>
  <c r="I518" i="84"/>
  <c r="G518" i="84"/>
  <c r="C518" i="84"/>
  <c r="R517" i="84"/>
  <c r="S517" i="84" s="1"/>
  <c r="Q517" i="84"/>
  <c r="O517" i="84"/>
  <c r="M517" i="84"/>
  <c r="K517" i="84"/>
  <c r="I517" i="84"/>
  <c r="G517" i="84"/>
  <c r="C517" i="84"/>
  <c r="R516" i="84"/>
  <c r="S516" i="84" s="1"/>
  <c r="Q516" i="84"/>
  <c r="O516" i="84"/>
  <c r="M516" i="84"/>
  <c r="K516" i="84"/>
  <c r="I516" i="84"/>
  <c r="G516" i="84"/>
  <c r="C516" i="84"/>
  <c r="R515" i="84"/>
  <c r="S515" i="84" s="1"/>
  <c r="Q515" i="84"/>
  <c r="O515" i="84"/>
  <c r="M515" i="84"/>
  <c r="K515" i="84"/>
  <c r="I515" i="84"/>
  <c r="G515" i="84"/>
  <c r="C515" i="84"/>
  <c r="R514" i="84"/>
  <c r="S514" i="84" s="1"/>
  <c r="Q514" i="84"/>
  <c r="O514" i="84"/>
  <c r="M514" i="84"/>
  <c r="K514" i="84"/>
  <c r="I514" i="84"/>
  <c r="G514" i="84"/>
  <c r="C514" i="84"/>
  <c r="R513" i="84"/>
  <c r="S513" i="84" s="1"/>
  <c r="Q513" i="84"/>
  <c r="O513" i="84"/>
  <c r="M513" i="84"/>
  <c r="K513" i="84"/>
  <c r="I513" i="84"/>
  <c r="G513" i="84"/>
  <c r="C513" i="84"/>
  <c r="R512" i="84"/>
  <c r="S512" i="84" s="1"/>
  <c r="Q512" i="84"/>
  <c r="O512" i="84"/>
  <c r="M512" i="84"/>
  <c r="K512" i="84"/>
  <c r="I512" i="84"/>
  <c r="G512" i="84"/>
  <c r="C512" i="84"/>
  <c r="R511" i="84"/>
  <c r="S511" i="84" s="1"/>
  <c r="Q511" i="84"/>
  <c r="O511" i="84"/>
  <c r="M511" i="84"/>
  <c r="K511" i="84"/>
  <c r="I511" i="84"/>
  <c r="G511" i="84"/>
  <c r="C511" i="84"/>
  <c r="R510" i="84"/>
  <c r="S510" i="84" s="1"/>
  <c r="Q510" i="84"/>
  <c r="O510" i="84"/>
  <c r="M510" i="84"/>
  <c r="K510" i="84"/>
  <c r="I510" i="84"/>
  <c r="G510" i="84"/>
  <c r="C510" i="84"/>
  <c r="R509" i="84"/>
  <c r="S509" i="84" s="1"/>
  <c r="Q509" i="84"/>
  <c r="O509" i="84"/>
  <c r="M509" i="84"/>
  <c r="K509" i="84"/>
  <c r="I509" i="84"/>
  <c r="G509" i="84"/>
  <c r="C509" i="84"/>
  <c r="R508" i="84"/>
  <c r="S508" i="84" s="1"/>
  <c r="Q508" i="84"/>
  <c r="O508" i="84"/>
  <c r="M508" i="84"/>
  <c r="K508" i="84"/>
  <c r="I508" i="84"/>
  <c r="G508" i="84"/>
  <c r="C508" i="84"/>
  <c r="R507" i="84"/>
  <c r="S507" i="84" s="1"/>
  <c r="Q507" i="84"/>
  <c r="O507" i="84"/>
  <c r="M507" i="84"/>
  <c r="K507" i="84"/>
  <c r="I507" i="84"/>
  <c r="G507" i="84"/>
  <c r="C507" i="84"/>
  <c r="R506" i="84"/>
  <c r="S506" i="84" s="1"/>
  <c r="Q506" i="84"/>
  <c r="O506" i="84"/>
  <c r="M506" i="84"/>
  <c r="K506" i="84"/>
  <c r="I506" i="84"/>
  <c r="G506" i="84"/>
  <c r="C506" i="84"/>
  <c r="R505" i="84"/>
  <c r="S505" i="84" s="1"/>
  <c r="Q505" i="84"/>
  <c r="O505" i="84"/>
  <c r="M505" i="84"/>
  <c r="K505" i="84"/>
  <c r="I505" i="84"/>
  <c r="G505" i="84"/>
  <c r="C505" i="84"/>
  <c r="R504" i="84"/>
  <c r="S504" i="84" s="1"/>
  <c r="Q504" i="84"/>
  <c r="O504" i="84"/>
  <c r="M504" i="84"/>
  <c r="K504" i="84"/>
  <c r="I504" i="84"/>
  <c r="G504" i="84"/>
  <c r="C504" i="84"/>
  <c r="R503" i="84"/>
  <c r="S503" i="84" s="1"/>
  <c r="Q503" i="84"/>
  <c r="O503" i="84"/>
  <c r="M503" i="84"/>
  <c r="K503" i="84"/>
  <c r="I503" i="84"/>
  <c r="G503" i="84"/>
  <c r="C503" i="84"/>
  <c r="R502" i="84"/>
  <c r="S502" i="84" s="1"/>
  <c r="Q502" i="84"/>
  <c r="O502" i="84"/>
  <c r="M502" i="84"/>
  <c r="K502" i="84"/>
  <c r="I502" i="84"/>
  <c r="G502" i="84"/>
  <c r="C502" i="84"/>
  <c r="R501" i="84"/>
  <c r="S501" i="84" s="1"/>
  <c r="Q501" i="84"/>
  <c r="O501" i="84"/>
  <c r="M501" i="84"/>
  <c r="K501" i="84"/>
  <c r="I501" i="84"/>
  <c r="G501" i="84"/>
  <c r="C501" i="84"/>
  <c r="R500" i="84"/>
  <c r="S500" i="84" s="1"/>
  <c r="Q500" i="84"/>
  <c r="O500" i="84"/>
  <c r="M500" i="84"/>
  <c r="K500" i="84"/>
  <c r="I500" i="84"/>
  <c r="G500" i="84"/>
  <c r="C500" i="84"/>
  <c r="R499" i="84"/>
  <c r="S499" i="84" s="1"/>
  <c r="Q499" i="84"/>
  <c r="O499" i="84"/>
  <c r="M499" i="84"/>
  <c r="K499" i="84"/>
  <c r="I499" i="84"/>
  <c r="G499" i="84"/>
  <c r="C499" i="84"/>
  <c r="R498" i="84"/>
  <c r="S498" i="84" s="1"/>
  <c r="Q498" i="84"/>
  <c r="O498" i="84"/>
  <c r="M498" i="84"/>
  <c r="K498" i="84"/>
  <c r="I498" i="84"/>
  <c r="G498" i="84"/>
  <c r="C498" i="84"/>
  <c r="R497" i="84"/>
  <c r="S497" i="84" s="1"/>
  <c r="Q497" i="84"/>
  <c r="O497" i="84"/>
  <c r="M497" i="84"/>
  <c r="K497" i="84"/>
  <c r="I497" i="84"/>
  <c r="G497" i="84"/>
  <c r="C497" i="84"/>
  <c r="R496" i="84"/>
  <c r="S496" i="84" s="1"/>
  <c r="Q496" i="84"/>
  <c r="O496" i="84"/>
  <c r="M496" i="84"/>
  <c r="K496" i="84"/>
  <c r="I496" i="84"/>
  <c r="G496" i="84"/>
  <c r="C496" i="84"/>
  <c r="R495" i="84"/>
  <c r="S495" i="84" s="1"/>
  <c r="Q495" i="84"/>
  <c r="O495" i="84"/>
  <c r="M495" i="84"/>
  <c r="K495" i="84"/>
  <c r="I495" i="84"/>
  <c r="G495" i="84"/>
  <c r="C495" i="84"/>
  <c r="R494" i="84"/>
  <c r="S494" i="84" s="1"/>
  <c r="Q494" i="84"/>
  <c r="O494" i="84"/>
  <c r="M494" i="84"/>
  <c r="K494" i="84"/>
  <c r="I494" i="84"/>
  <c r="G494" i="84"/>
  <c r="C494" i="84"/>
  <c r="R493" i="84"/>
  <c r="S493" i="84" s="1"/>
  <c r="Q493" i="84"/>
  <c r="O493" i="84"/>
  <c r="M493" i="84"/>
  <c r="K493" i="84"/>
  <c r="I493" i="84"/>
  <c r="G493" i="84"/>
  <c r="C493" i="84"/>
  <c r="R492" i="84"/>
  <c r="S492" i="84" s="1"/>
  <c r="Q492" i="84"/>
  <c r="O492" i="84"/>
  <c r="M492" i="84"/>
  <c r="K492" i="84"/>
  <c r="I492" i="84"/>
  <c r="G492" i="84"/>
  <c r="C492" i="84"/>
  <c r="R491" i="84"/>
  <c r="S491" i="84" s="1"/>
  <c r="Q491" i="84"/>
  <c r="O491" i="84"/>
  <c r="M491" i="84"/>
  <c r="K491" i="84"/>
  <c r="I491" i="84"/>
  <c r="G491" i="84"/>
  <c r="C491" i="84"/>
  <c r="R490" i="84"/>
  <c r="S490" i="84" s="1"/>
  <c r="Q490" i="84"/>
  <c r="O490" i="84"/>
  <c r="M490" i="84"/>
  <c r="K490" i="84"/>
  <c r="I490" i="84"/>
  <c r="G490" i="84"/>
  <c r="C490" i="84"/>
  <c r="R489" i="84"/>
  <c r="S489" i="84" s="1"/>
  <c r="Q489" i="84"/>
  <c r="O489" i="84"/>
  <c r="M489" i="84"/>
  <c r="K489" i="84"/>
  <c r="I489" i="84"/>
  <c r="G489" i="84"/>
  <c r="C489" i="84"/>
  <c r="R488" i="84"/>
  <c r="S488" i="84" s="1"/>
  <c r="Q488" i="84"/>
  <c r="O488" i="84"/>
  <c r="M488" i="84"/>
  <c r="K488" i="84"/>
  <c r="I488" i="84"/>
  <c r="G488" i="84"/>
  <c r="C488" i="84"/>
  <c r="R487" i="84"/>
  <c r="S487" i="84" s="1"/>
  <c r="Q487" i="84"/>
  <c r="O487" i="84"/>
  <c r="M487" i="84"/>
  <c r="K487" i="84"/>
  <c r="I487" i="84"/>
  <c r="G487" i="84"/>
  <c r="C487" i="84"/>
  <c r="R486" i="84"/>
  <c r="S486" i="84" s="1"/>
  <c r="Q486" i="84"/>
  <c r="O486" i="84"/>
  <c r="M486" i="84"/>
  <c r="K486" i="84"/>
  <c r="I486" i="84"/>
  <c r="G486" i="84"/>
  <c r="C486" i="84"/>
  <c r="R485" i="84"/>
  <c r="S485" i="84" s="1"/>
  <c r="Q485" i="84"/>
  <c r="O485" i="84"/>
  <c r="M485" i="84"/>
  <c r="K485" i="84"/>
  <c r="I485" i="84"/>
  <c r="G485" i="84"/>
  <c r="C485" i="84"/>
  <c r="R484" i="84"/>
  <c r="S484" i="84" s="1"/>
  <c r="Q484" i="84"/>
  <c r="O484" i="84"/>
  <c r="M484" i="84"/>
  <c r="K484" i="84"/>
  <c r="I484" i="84"/>
  <c r="G484" i="84"/>
  <c r="C484" i="84"/>
  <c r="R483" i="84"/>
  <c r="S483" i="84" s="1"/>
  <c r="Q483" i="84"/>
  <c r="O483" i="84"/>
  <c r="M483" i="84"/>
  <c r="K483" i="84"/>
  <c r="I483" i="84"/>
  <c r="G483" i="84"/>
  <c r="C483" i="84"/>
  <c r="R482" i="84"/>
  <c r="S482" i="84" s="1"/>
  <c r="Q482" i="84"/>
  <c r="O482" i="84"/>
  <c r="M482" i="84"/>
  <c r="K482" i="84"/>
  <c r="I482" i="84"/>
  <c r="G482" i="84"/>
  <c r="C482" i="84"/>
  <c r="R481" i="84"/>
  <c r="S481" i="84" s="1"/>
  <c r="Q481" i="84"/>
  <c r="O481" i="84"/>
  <c r="M481" i="84"/>
  <c r="K481" i="84"/>
  <c r="I481" i="84"/>
  <c r="G481" i="84"/>
  <c r="C481" i="84"/>
  <c r="R480" i="84"/>
  <c r="S480" i="84" s="1"/>
  <c r="Q480" i="84"/>
  <c r="O480" i="84"/>
  <c r="M480" i="84"/>
  <c r="K480" i="84"/>
  <c r="I480" i="84"/>
  <c r="G480" i="84"/>
  <c r="C480" i="84"/>
  <c r="R479" i="84"/>
  <c r="S479" i="84" s="1"/>
  <c r="Q479" i="84"/>
  <c r="O479" i="84"/>
  <c r="M479" i="84"/>
  <c r="K479" i="84"/>
  <c r="I479" i="84"/>
  <c r="G479" i="84"/>
  <c r="C479" i="84"/>
  <c r="R478" i="84"/>
  <c r="S478" i="84" s="1"/>
  <c r="Q478" i="84"/>
  <c r="O478" i="84"/>
  <c r="M478" i="84"/>
  <c r="K478" i="84"/>
  <c r="I478" i="84"/>
  <c r="G478" i="84"/>
  <c r="C478" i="84"/>
  <c r="R477" i="84"/>
  <c r="S477" i="84" s="1"/>
  <c r="Q477" i="84"/>
  <c r="O477" i="84"/>
  <c r="M477" i="84"/>
  <c r="K477" i="84"/>
  <c r="I477" i="84"/>
  <c r="G477" i="84"/>
  <c r="C477" i="84"/>
  <c r="R476" i="84"/>
  <c r="S476" i="84" s="1"/>
  <c r="Q476" i="84"/>
  <c r="O476" i="84"/>
  <c r="M476" i="84"/>
  <c r="K476" i="84"/>
  <c r="I476" i="84"/>
  <c r="G476" i="84"/>
  <c r="C476" i="84"/>
  <c r="R475" i="84"/>
  <c r="S475" i="84" s="1"/>
  <c r="Q475" i="84"/>
  <c r="O475" i="84"/>
  <c r="M475" i="84"/>
  <c r="K475" i="84"/>
  <c r="I475" i="84"/>
  <c r="G475" i="84"/>
  <c r="C475" i="84"/>
  <c r="R474" i="84"/>
  <c r="S474" i="84" s="1"/>
  <c r="Q474" i="84"/>
  <c r="O474" i="84"/>
  <c r="M474" i="84"/>
  <c r="K474" i="84"/>
  <c r="I474" i="84"/>
  <c r="G474" i="84"/>
  <c r="C474" i="84"/>
  <c r="R473" i="84"/>
  <c r="S473" i="84" s="1"/>
  <c r="Q473" i="84"/>
  <c r="O473" i="84"/>
  <c r="M473" i="84"/>
  <c r="K473" i="84"/>
  <c r="I473" i="84"/>
  <c r="G473" i="84"/>
  <c r="C473" i="84"/>
  <c r="R472" i="84"/>
  <c r="S472" i="84" s="1"/>
  <c r="Q472" i="84"/>
  <c r="O472" i="84"/>
  <c r="M472" i="84"/>
  <c r="K472" i="84"/>
  <c r="I472" i="84"/>
  <c r="G472" i="84"/>
  <c r="C472" i="84"/>
  <c r="R471" i="84"/>
  <c r="S471" i="84" s="1"/>
  <c r="Q471" i="84"/>
  <c r="O471" i="84"/>
  <c r="M471" i="84"/>
  <c r="K471" i="84"/>
  <c r="I471" i="84"/>
  <c r="G471" i="84"/>
  <c r="C471" i="84"/>
  <c r="R470" i="84"/>
  <c r="S470" i="84" s="1"/>
  <c r="Q470" i="84"/>
  <c r="O470" i="84"/>
  <c r="M470" i="84"/>
  <c r="K470" i="84"/>
  <c r="I470" i="84"/>
  <c r="G470" i="84"/>
  <c r="C470" i="84"/>
  <c r="R469" i="84"/>
  <c r="S469" i="84" s="1"/>
  <c r="Q469" i="84"/>
  <c r="O469" i="84"/>
  <c r="M469" i="84"/>
  <c r="K469" i="84"/>
  <c r="I469" i="84"/>
  <c r="G469" i="84"/>
  <c r="C469" i="84"/>
  <c r="R468" i="84"/>
  <c r="S468" i="84" s="1"/>
  <c r="Q468" i="84"/>
  <c r="O468" i="84"/>
  <c r="M468" i="84"/>
  <c r="K468" i="84"/>
  <c r="I468" i="84"/>
  <c r="G468" i="84"/>
  <c r="C468" i="84"/>
  <c r="R467" i="84"/>
  <c r="S467" i="84" s="1"/>
  <c r="Q467" i="84"/>
  <c r="O467" i="84"/>
  <c r="M467" i="84"/>
  <c r="K467" i="84"/>
  <c r="I467" i="84"/>
  <c r="G467" i="84"/>
  <c r="C467" i="84"/>
  <c r="R466" i="84"/>
  <c r="S466" i="84" s="1"/>
  <c r="Q466" i="84"/>
  <c r="O466" i="84"/>
  <c r="M466" i="84"/>
  <c r="K466" i="84"/>
  <c r="I466" i="84"/>
  <c r="G466" i="84"/>
  <c r="C466" i="84"/>
  <c r="R465" i="84"/>
  <c r="S465" i="84" s="1"/>
  <c r="Q465" i="84"/>
  <c r="O465" i="84"/>
  <c r="M465" i="84"/>
  <c r="K465" i="84"/>
  <c r="I465" i="84"/>
  <c r="G465" i="84"/>
  <c r="C465" i="84"/>
  <c r="R464" i="84"/>
  <c r="S464" i="84" s="1"/>
  <c r="Q464" i="84"/>
  <c r="O464" i="84"/>
  <c r="M464" i="84"/>
  <c r="K464" i="84"/>
  <c r="I464" i="84"/>
  <c r="G464" i="84"/>
  <c r="C464" i="84"/>
  <c r="R463" i="84"/>
  <c r="S463" i="84" s="1"/>
  <c r="Q463" i="84"/>
  <c r="O463" i="84"/>
  <c r="M463" i="84"/>
  <c r="K463" i="84"/>
  <c r="I463" i="84"/>
  <c r="G463" i="84"/>
  <c r="C463" i="84"/>
  <c r="R462" i="84"/>
  <c r="S462" i="84" s="1"/>
  <c r="Q462" i="84"/>
  <c r="O462" i="84"/>
  <c r="M462" i="84"/>
  <c r="K462" i="84"/>
  <c r="I462" i="84"/>
  <c r="G462" i="84"/>
  <c r="C462" i="84"/>
  <c r="R461" i="84"/>
  <c r="S461" i="84" s="1"/>
  <c r="Q461" i="84"/>
  <c r="O461" i="84"/>
  <c r="M461" i="84"/>
  <c r="K461" i="84"/>
  <c r="I461" i="84"/>
  <c r="G461" i="84"/>
  <c r="C461" i="84"/>
  <c r="R460" i="84"/>
  <c r="S460" i="84" s="1"/>
  <c r="Q460" i="84"/>
  <c r="O460" i="84"/>
  <c r="M460" i="84"/>
  <c r="K460" i="84"/>
  <c r="I460" i="84"/>
  <c r="G460" i="84"/>
  <c r="C460" i="84"/>
  <c r="R459" i="84"/>
  <c r="S459" i="84" s="1"/>
  <c r="Q459" i="84"/>
  <c r="O459" i="84"/>
  <c r="M459" i="84"/>
  <c r="K459" i="84"/>
  <c r="I459" i="84"/>
  <c r="G459" i="84"/>
  <c r="C459" i="84"/>
  <c r="R458" i="84"/>
  <c r="S458" i="84" s="1"/>
  <c r="Q458" i="84"/>
  <c r="O458" i="84"/>
  <c r="M458" i="84"/>
  <c r="K458" i="84"/>
  <c r="I458" i="84"/>
  <c r="G458" i="84"/>
  <c r="C458" i="84"/>
  <c r="R457" i="84"/>
  <c r="S457" i="84" s="1"/>
  <c r="Q457" i="84"/>
  <c r="O457" i="84"/>
  <c r="M457" i="84"/>
  <c r="K457" i="84"/>
  <c r="I457" i="84"/>
  <c r="G457" i="84"/>
  <c r="C457" i="84"/>
  <c r="R456" i="84"/>
  <c r="S456" i="84" s="1"/>
  <c r="Q456" i="84"/>
  <c r="O456" i="84"/>
  <c r="M456" i="84"/>
  <c r="K456" i="84"/>
  <c r="I456" i="84"/>
  <c r="G456" i="84"/>
  <c r="C456" i="84"/>
  <c r="R455" i="84"/>
  <c r="S455" i="84" s="1"/>
  <c r="Q455" i="84"/>
  <c r="O455" i="84"/>
  <c r="M455" i="84"/>
  <c r="K455" i="84"/>
  <c r="I455" i="84"/>
  <c r="G455" i="84"/>
  <c r="C455" i="84"/>
  <c r="R454" i="84"/>
  <c r="S454" i="84" s="1"/>
  <c r="Q454" i="84"/>
  <c r="O454" i="84"/>
  <c r="M454" i="84"/>
  <c r="K454" i="84"/>
  <c r="I454" i="84"/>
  <c r="G454" i="84"/>
  <c r="C454" i="84"/>
  <c r="R453" i="84"/>
  <c r="S453" i="84" s="1"/>
  <c r="Q453" i="84"/>
  <c r="O453" i="84"/>
  <c r="M453" i="84"/>
  <c r="K453" i="84"/>
  <c r="I453" i="84"/>
  <c r="G453" i="84"/>
  <c r="C453" i="84"/>
  <c r="R452" i="84"/>
  <c r="S452" i="84" s="1"/>
  <c r="Q452" i="84"/>
  <c r="O452" i="84"/>
  <c r="M452" i="84"/>
  <c r="K452" i="84"/>
  <c r="I452" i="84"/>
  <c r="G452" i="84"/>
  <c r="C452" i="84"/>
  <c r="R451" i="84"/>
  <c r="S451" i="84" s="1"/>
  <c r="Q451" i="84"/>
  <c r="O451" i="84"/>
  <c r="M451" i="84"/>
  <c r="K451" i="84"/>
  <c r="I451" i="84"/>
  <c r="G451" i="84"/>
  <c r="C451" i="84"/>
  <c r="R450" i="84"/>
  <c r="S450" i="84" s="1"/>
  <c r="Q450" i="84"/>
  <c r="O450" i="84"/>
  <c r="M450" i="84"/>
  <c r="K450" i="84"/>
  <c r="I450" i="84"/>
  <c r="G450" i="84"/>
  <c r="C450" i="84"/>
  <c r="R449" i="84"/>
  <c r="S449" i="84" s="1"/>
  <c r="Q449" i="84"/>
  <c r="O449" i="84"/>
  <c r="M449" i="84"/>
  <c r="K449" i="84"/>
  <c r="I449" i="84"/>
  <c r="G449" i="84"/>
  <c r="C449" i="84"/>
  <c r="R448" i="84"/>
  <c r="S448" i="84" s="1"/>
  <c r="Q448" i="84"/>
  <c r="O448" i="84"/>
  <c r="M448" i="84"/>
  <c r="K448" i="84"/>
  <c r="I448" i="84"/>
  <c r="G448" i="84"/>
  <c r="C448" i="84"/>
  <c r="R447" i="84"/>
  <c r="S447" i="84" s="1"/>
  <c r="Q447" i="84"/>
  <c r="O447" i="84"/>
  <c r="M447" i="84"/>
  <c r="K447" i="84"/>
  <c r="I447" i="84"/>
  <c r="G447" i="84"/>
  <c r="C447" i="84"/>
  <c r="R446" i="84"/>
  <c r="S446" i="84" s="1"/>
  <c r="Q446" i="84"/>
  <c r="O446" i="84"/>
  <c r="M446" i="84"/>
  <c r="K446" i="84"/>
  <c r="I446" i="84"/>
  <c r="G446" i="84"/>
  <c r="C446" i="84"/>
  <c r="R445" i="84"/>
  <c r="S445" i="84" s="1"/>
  <c r="Q445" i="84"/>
  <c r="O445" i="84"/>
  <c r="M445" i="84"/>
  <c r="K445" i="84"/>
  <c r="I445" i="84"/>
  <c r="G445" i="84"/>
  <c r="C445" i="84"/>
  <c r="R444" i="84"/>
  <c r="S444" i="84" s="1"/>
  <c r="Q444" i="84"/>
  <c r="O444" i="84"/>
  <c r="M444" i="84"/>
  <c r="K444" i="84"/>
  <c r="I444" i="84"/>
  <c r="G444" i="84"/>
  <c r="C444" i="84"/>
  <c r="R443" i="84"/>
  <c r="S443" i="84" s="1"/>
  <c r="Q443" i="84"/>
  <c r="O443" i="84"/>
  <c r="M443" i="84"/>
  <c r="K443" i="84"/>
  <c r="I443" i="84"/>
  <c r="G443" i="84"/>
  <c r="C443" i="84"/>
  <c r="R442" i="84"/>
  <c r="S442" i="84" s="1"/>
  <c r="Q442" i="84"/>
  <c r="O442" i="84"/>
  <c r="M442" i="84"/>
  <c r="K442" i="84"/>
  <c r="I442" i="84"/>
  <c r="G442" i="84"/>
  <c r="C442" i="84"/>
  <c r="R441" i="84"/>
  <c r="S441" i="84" s="1"/>
  <c r="Q441" i="84"/>
  <c r="O441" i="84"/>
  <c r="M441" i="84"/>
  <c r="K441" i="84"/>
  <c r="I441" i="84"/>
  <c r="G441" i="84"/>
  <c r="C441" i="84"/>
  <c r="R440" i="84"/>
  <c r="S440" i="84" s="1"/>
  <c r="Q440" i="84"/>
  <c r="O440" i="84"/>
  <c r="M440" i="84"/>
  <c r="K440" i="84"/>
  <c r="I440" i="84"/>
  <c r="G440" i="84"/>
  <c r="C440" i="84"/>
  <c r="R439" i="84"/>
  <c r="S439" i="84" s="1"/>
  <c r="Q439" i="84"/>
  <c r="O439" i="84"/>
  <c r="M439" i="84"/>
  <c r="K439" i="84"/>
  <c r="I439" i="84"/>
  <c r="G439" i="84"/>
  <c r="C439" i="84"/>
  <c r="R438" i="84"/>
  <c r="S438" i="84" s="1"/>
  <c r="Q438" i="84"/>
  <c r="O438" i="84"/>
  <c r="M438" i="84"/>
  <c r="K438" i="84"/>
  <c r="I438" i="84"/>
  <c r="G438" i="84"/>
  <c r="C438" i="84"/>
  <c r="R437" i="84"/>
  <c r="S437" i="84" s="1"/>
  <c r="Q437" i="84"/>
  <c r="O437" i="84"/>
  <c r="M437" i="84"/>
  <c r="K437" i="84"/>
  <c r="I437" i="84"/>
  <c r="G437" i="84"/>
  <c r="C437" i="84"/>
  <c r="R436" i="84"/>
  <c r="S436" i="84" s="1"/>
  <c r="Q436" i="84"/>
  <c r="O436" i="84"/>
  <c r="M436" i="84"/>
  <c r="K436" i="84"/>
  <c r="I436" i="84"/>
  <c r="G436" i="84"/>
  <c r="C436" i="84"/>
  <c r="R435" i="84"/>
  <c r="S435" i="84" s="1"/>
  <c r="Q435" i="84"/>
  <c r="O435" i="84"/>
  <c r="M435" i="84"/>
  <c r="K435" i="84"/>
  <c r="I435" i="84"/>
  <c r="G435" i="84"/>
  <c r="C435" i="84"/>
  <c r="R434" i="84"/>
  <c r="S434" i="84" s="1"/>
  <c r="Q434" i="84"/>
  <c r="O434" i="84"/>
  <c r="M434" i="84"/>
  <c r="K434" i="84"/>
  <c r="I434" i="84"/>
  <c r="G434" i="84"/>
  <c r="C434" i="84"/>
  <c r="R433" i="84"/>
  <c r="S433" i="84" s="1"/>
  <c r="Q433" i="84"/>
  <c r="O433" i="84"/>
  <c r="M433" i="84"/>
  <c r="K433" i="84"/>
  <c r="I433" i="84"/>
  <c r="G433" i="84"/>
  <c r="C433" i="84"/>
  <c r="R432" i="84"/>
  <c r="S432" i="84" s="1"/>
  <c r="Q432" i="84"/>
  <c r="O432" i="84"/>
  <c r="M432" i="84"/>
  <c r="K432" i="84"/>
  <c r="I432" i="84"/>
  <c r="G432" i="84"/>
  <c r="C432" i="84"/>
  <c r="R431" i="84"/>
  <c r="S431" i="84" s="1"/>
  <c r="Q431" i="84"/>
  <c r="O431" i="84"/>
  <c r="M431" i="84"/>
  <c r="K431" i="84"/>
  <c r="I431" i="84"/>
  <c r="G431" i="84"/>
  <c r="C431" i="84"/>
  <c r="R430" i="84"/>
  <c r="S430" i="84" s="1"/>
  <c r="Q430" i="84"/>
  <c r="O430" i="84"/>
  <c r="M430" i="84"/>
  <c r="K430" i="84"/>
  <c r="I430" i="84"/>
  <c r="G430" i="84"/>
  <c r="C430" i="84"/>
  <c r="R429" i="84"/>
  <c r="S429" i="84" s="1"/>
  <c r="Q429" i="84"/>
  <c r="O429" i="84"/>
  <c r="M429" i="84"/>
  <c r="K429" i="84"/>
  <c r="I429" i="84"/>
  <c r="G429" i="84"/>
  <c r="C429" i="84"/>
  <c r="R428" i="84"/>
  <c r="S428" i="84" s="1"/>
  <c r="Q428" i="84"/>
  <c r="O428" i="84"/>
  <c r="M428" i="84"/>
  <c r="K428" i="84"/>
  <c r="I428" i="84"/>
  <c r="G428" i="84"/>
  <c r="C428" i="84"/>
  <c r="R427" i="84"/>
  <c r="S427" i="84" s="1"/>
  <c r="Q427" i="84"/>
  <c r="O427" i="84"/>
  <c r="M427" i="84"/>
  <c r="K427" i="84"/>
  <c r="I427" i="84"/>
  <c r="G427" i="84"/>
  <c r="C427" i="84"/>
  <c r="R426" i="84"/>
  <c r="S426" i="84" s="1"/>
  <c r="Q426" i="84"/>
  <c r="O426" i="84"/>
  <c r="M426" i="84"/>
  <c r="K426" i="84"/>
  <c r="I426" i="84"/>
  <c r="G426" i="84"/>
  <c r="C426" i="84"/>
  <c r="R425" i="84"/>
  <c r="S425" i="84" s="1"/>
  <c r="Q425" i="84"/>
  <c r="O425" i="84"/>
  <c r="M425" i="84"/>
  <c r="K425" i="84"/>
  <c r="I425" i="84"/>
  <c r="G425" i="84"/>
  <c r="C425" i="84"/>
  <c r="R424" i="84"/>
  <c r="S424" i="84" s="1"/>
  <c r="Q424" i="84"/>
  <c r="O424" i="84"/>
  <c r="M424" i="84"/>
  <c r="K424" i="84"/>
  <c r="I424" i="84"/>
  <c r="G424" i="84"/>
  <c r="C424" i="84"/>
  <c r="R423" i="84"/>
  <c r="S423" i="84" s="1"/>
  <c r="Q423" i="84"/>
  <c r="O423" i="84"/>
  <c r="M423" i="84"/>
  <c r="K423" i="84"/>
  <c r="I423" i="84"/>
  <c r="G423" i="84"/>
  <c r="C423" i="84"/>
  <c r="R422" i="84"/>
  <c r="S422" i="84" s="1"/>
  <c r="Q422" i="84"/>
  <c r="O422" i="84"/>
  <c r="M422" i="84"/>
  <c r="K422" i="84"/>
  <c r="I422" i="84"/>
  <c r="G422" i="84"/>
  <c r="C422" i="84"/>
  <c r="R421" i="84"/>
  <c r="S421" i="84" s="1"/>
  <c r="Q421" i="84"/>
  <c r="O421" i="84"/>
  <c r="M421" i="84"/>
  <c r="K421" i="84"/>
  <c r="I421" i="84"/>
  <c r="G421" i="84"/>
  <c r="C421" i="84"/>
  <c r="R420" i="84"/>
  <c r="S420" i="84" s="1"/>
  <c r="Q420" i="84"/>
  <c r="O420" i="84"/>
  <c r="M420" i="84"/>
  <c r="K420" i="84"/>
  <c r="I420" i="84"/>
  <c r="G420" i="84"/>
  <c r="C420" i="84"/>
  <c r="R419" i="84"/>
  <c r="S419" i="84" s="1"/>
  <c r="Q419" i="84"/>
  <c r="O419" i="84"/>
  <c r="M419" i="84"/>
  <c r="K419" i="84"/>
  <c r="I419" i="84"/>
  <c r="G419" i="84"/>
  <c r="C419" i="84"/>
  <c r="R418" i="84"/>
  <c r="S418" i="84" s="1"/>
  <c r="Q418" i="84"/>
  <c r="O418" i="84"/>
  <c r="M418" i="84"/>
  <c r="K418" i="84"/>
  <c r="I418" i="84"/>
  <c r="G418" i="84"/>
  <c r="C418" i="84"/>
  <c r="R417" i="84"/>
  <c r="S417" i="84" s="1"/>
  <c r="Q417" i="84"/>
  <c r="O417" i="84"/>
  <c r="M417" i="84"/>
  <c r="K417" i="84"/>
  <c r="I417" i="84"/>
  <c r="G417" i="84"/>
  <c r="C417" i="84"/>
  <c r="R416" i="84"/>
  <c r="S416" i="84" s="1"/>
  <c r="Q416" i="84"/>
  <c r="O416" i="84"/>
  <c r="M416" i="84"/>
  <c r="K416" i="84"/>
  <c r="I416" i="84"/>
  <c r="G416" i="84"/>
  <c r="C416" i="84"/>
  <c r="R415" i="84"/>
  <c r="S415" i="84" s="1"/>
  <c r="Q415" i="84"/>
  <c r="O415" i="84"/>
  <c r="M415" i="84"/>
  <c r="K415" i="84"/>
  <c r="I415" i="84"/>
  <c r="G415" i="84"/>
  <c r="C415" i="84"/>
  <c r="R414" i="84"/>
  <c r="S414" i="84" s="1"/>
  <c r="Q414" i="84"/>
  <c r="O414" i="84"/>
  <c r="M414" i="84"/>
  <c r="K414" i="84"/>
  <c r="I414" i="84"/>
  <c r="G414" i="84"/>
  <c r="C414" i="84"/>
  <c r="R413" i="84"/>
  <c r="S413" i="84" s="1"/>
  <c r="Q413" i="84"/>
  <c r="O413" i="84"/>
  <c r="M413" i="84"/>
  <c r="K413" i="84"/>
  <c r="I413" i="84"/>
  <c r="G413" i="84"/>
  <c r="C413" i="84"/>
  <c r="R412" i="84"/>
  <c r="S412" i="84" s="1"/>
  <c r="Q412" i="84"/>
  <c r="O412" i="84"/>
  <c r="M412" i="84"/>
  <c r="K412" i="84"/>
  <c r="I412" i="84"/>
  <c r="G412" i="84"/>
  <c r="C412" i="84"/>
  <c r="R411" i="84"/>
  <c r="S411" i="84" s="1"/>
  <c r="Q411" i="84"/>
  <c r="O411" i="84"/>
  <c r="M411" i="84"/>
  <c r="K411" i="84"/>
  <c r="I411" i="84"/>
  <c r="G411" i="84"/>
  <c r="C411" i="84"/>
  <c r="R410" i="84"/>
  <c r="S410" i="84" s="1"/>
  <c r="Q410" i="84"/>
  <c r="O410" i="84"/>
  <c r="M410" i="84"/>
  <c r="K410" i="84"/>
  <c r="I410" i="84"/>
  <c r="G410" i="84"/>
  <c r="C410" i="84"/>
  <c r="R409" i="84"/>
  <c r="S409" i="84" s="1"/>
  <c r="Q409" i="84"/>
  <c r="O409" i="84"/>
  <c r="M409" i="84"/>
  <c r="K409" i="84"/>
  <c r="I409" i="84"/>
  <c r="G409" i="84"/>
  <c r="C409" i="84"/>
  <c r="R408" i="84"/>
  <c r="S408" i="84" s="1"/>
  <c r="Q408" i="84"/>
  <c r="O408" i="84"/>
  <c r="M408" i="84"/>
  <c r="K408" i="84"/>
  <c r="I408" i="84"/>
  <c r="G408" i="84"/>
  <c r="C408" i="84"/>
  <c r="R407" i="84"/>
  <c r="S407" i="84" s="1"/>
  <c r="Q407" i="84"/>
  <c r="O407" i="84"/>
  <c r="M407" i="84"/>
  <c r="K407" i="84"/>
  <c r="I407" i="84"/>
  <c r="G407" i="84"/>
  <c r="C407" i="84"/>
  <c r="R406" i="84"/>
  <c r="S406" i="84" s="1"/>
  <c r="Q406" i="84"/>
  <c r="O406" i="84"/>
  <c r="M406" i="84"/>
  <c r="K406" i="84"/>
  <c r="I406" i="84"/>
  <c r="G406" i="84"/>
  <c r="C406" i="84"/>
  <c r="R405" i="84"/>
  <c r="S405" i="84" s="1"/>
  <c r="Q405" i="84"/>
  <c r="O405" i="84"/>
  <c r="M405" i="84"/>
  <c r="K405" i="84"/>
  <c r="I405" i="84"/>
  <c r="G405" i="84"/>
  <c r="C405" i="84"/>
  <c r="R404" i="84"/>
  <c r="S404" i="84" s="1"/>
  <c r="Q404" i="84"/>
  <c r="O404" i="84"/>
  <c r="M404" i="84"/>
  <c r="K404" i="84"/>
  <c r="I404" i="84"/>
  <c r="G404" i="84"/>
  <c r="C404" i="84"/>
  <c r="R403" i="84"/>
  <c r="S403" i="84" s="1"/>
  <c r="Q403" i="84"/>
  <c r="O403" i="84"/>
  <c r="M403" i="84"/>
  <c r="K403" i="84"/>
  <c r="I403" i="84"/>
  <c r="G403" i="84"/>
  <c r="C403" i="84"/>
  <c r="R402" i="84"/>
  <c r="S402" i="84" s="1"/>
  <c r="Q402" i="84"/>
  <c r="O402" i="84"/>
  <c r="M402" i="84"/>
  <c r="K402" i="84"/>
  <c r="I402" i="84"/>
  <c r="G402" i="84"/>
  <c r="C402" i="84"/>
  <c r="R401" i="84"/>
  <c r="S401" i="84" s="1"/>
  <c r="Q401" i="84"/>
  <c r="O401" i="84"/>
  <c r="M401" i="84"/>
  <c r="K401" i="84"/>
  <c r="I401" i="84"/>
  <c r="G401" i="84"/>
  <c r="C401" i="84"/>
  <c r="R400" i="84"/>
  <c r="S400" i="84" s="1"/>
  <c r="Q400" i="84"/>
  <c r="O400" i="84"/>
  <c r="M400" i="84"/>
  <c r="K400" i="84"/>
  <c r="I400" i="84"/>
  <c r="G400" i="84"/>
  <c r="C400" i="84"/>
  <c r="R399" i="84"/>
  <c r="S399" i="84" s="1"/>
  <c r="Q399" i="84"/>
  <c r="O399" i="84"/>
  <c r="M399" i="84"/>
  <c r="K399" i="84"/>
  <c r="I399" i="84"/>
  <c r="G399" i="84"/>
  <c r="C399" i="84"/>
  <c r="R398" i="84"/>
  <c r="S398" i="84" s="1"/>
  <c r="Q398" i="84"/>
  <c r="O398" i="84"/>
  <c r="M398" i="84"/>
  <c r="K398" i="84"/>
  <c r="I398" i="84"/>
  <c r="G398" i="84"/>
  <c r="C398" i="84"/>
  <c r="R397" i="84"/>
  <c r="S397" i="84" s="1"/>
  <c r="Q397" i="84"/>
  <c r="O397" i="84"/>
  <c r="M397" i="84"/>
  <c r="K397" i="84"/>
  <c r="I397" i="84"/>
  <c r="G397" i="84"/>
  <c r="C397" i="84"/>
  <c r="R396" i="84"/>
  <c r="S396" i="84" s="1"/>
  <c r="Q396" i="84"/>
  <c r="O396" i="84"/>
  <c r="M396" i="84"/>
  <c r="K396" i="84"/>
  <c r="I396" i="84"/>
  <c r="G396" i="84"/>
  <c r="C396" i="84"/>
  <c r="R395" i="84"/>
  <c r="S395" i="84" s="1"/>
  <c r="Q395" i="84"/>
  <c r="O395" i="84"/>
  <c r="M395" i="84"/>
  <c r="K395" i="84"/>
  <c r="I395" i="84"/>
  <c r="G395" i="84"/>
  <c r="C395" i="84"/>
  <c r="R394" i="84"/>
  <c r="S394" i="84" s="1"/>
  <c r="Q394" i="84"/>
  <c r="O394" i="84"/>
  <c r="M394" i="84"/>
  <c r="K394" i="84"/>
  <c r="I394" i="84"/>
  <c r="G394" i="84"/>
  <c r="C394" i="84"/>
  <c r="R393" i="84"/>
  <c r="S393" i="84" s="1"/>
  <c r="Q393" i="84"/>
  <c r="O393" i="84"/>
  <c r="M393" i="84"/>
  <c r="K393" i="84"/>
  <c r="I393" i="84"/>
  <c r="G393" i="84"/>
  <c r="C393" i="84"/>
  <c r="R392" i="84"/>
  <c r="S392" i="84" s="1"/>
  <c r="Q392" i="84"/>
  <c r="O392" i="84"/>
  <c r="M392" i="84"/>
  <c r="K392" i="84"/>
  <c r="I392" i="84"/>
  <c r="G392" i="84"/>
  <c r="C392" i="84"/>
  <c r="R391" i="84"/>
  <c r="S391" i="84" s="1"/>
  <c r="Q391" i="84"/>
  <c r="O391" i="84"/>
  <c r="M391" i="84"/>
  <c r="K391" i="84"/>
  <c r="I391" i="84"/>
  <c r="G391" i="84"/>
  <c r="C391" i="84"/>
  <c r="R390" i="84"/>
  <c r="S390" i="84" s="1"/>
  <c r="Q390" i="84"/>
  <c r="O390" i="84"/>
  <c r="M390" i="84"/>
  <c r="K390" i="84"/>
  <c r="I390" i="84"/>
  <c r="G390" i="84"/>
  <c r="C390" i="84"/>
  <c r="R389" i="84"/>
  <c r="S389" i="84" s="1"/>
  <c r="Q389" i="84"/>
  <c r="O389" i="84"/>
  <c r="M389" i="84"/>
  <c r="K389" i="84"/>
  <c r="I389" i="84"/>
  <c r="G389" i="84"/>
  <c r="C389" i="84"/>
  <c r="R388" i="84"/>
  <c r="S388" i="84" s="1"/>
  <c r="Q388" i="84"/>
  <c r="O388" i="84"/>
  <c r="M388" i="84"/>
  <c r="K388" i="84"/>
  <c r="I388" i="84"/>
  <c r="G388" i="84"/>
  <c r="C388" i="84"/>
  <c r="R387" i="84"/>
  <c r="S387" i="84" s="1"/>
  <c r="Q387" i="84"/>
  <c r="O387" i="84"/>
  <c r="M387" i="84"/>
  <c r="K387" i="84"/>
  <c r="I387" i="84"/>
  <c r="G387" i="84"/>
  <c r="C387" i="84"/>
  <c r="R386" i="84"/>
  <c r="S386" i="84" s="1"/>
  <c r="Q386" i="84"/>
  <c r="O386" i="84"/>
  <c r="M386" i="84"/>
  <c r="K386" i="84"/>
  <c r="I386" i="84"/>
  <c r="G386" i="84"/>
  <c r="C386" i="84"/>
  <c r="R385" i="84"/>
  <c r="S385" i="84" s="1"/>
  <c r="Q385" i="84"/>
  <c r="O385" i="84"/>
  <c r="M385" i="84"/>
  <c r="K385" i="84"/>
  <c r="I385" i="84"/>
  <c r="G385" i="84"/>
  <c r="C385" i="84"/>
  <c r="R384" i="84"/>
  <c r="S384" i="84" s="1"/>
  <c r="Q384" i="84"/>
  <c r="O384" i="84"/>
  <c r="M384" i="84"/>
  <c r="K384" i="84"/>
  <c r="I384" i="84"/>
  <c r="G384" i="84"/>
  <c r="C384" i="84"/>
  <c r="R383" i="84"/>
  <c r="S383" i="84" s="1"/>
  <c r="Q383" i="84"/>
  <c r="O383" i="84"/>
  <c r="M383" i="84"/>
  <c r="K383" i="84"/>
  <c r="I383" i="84"/>
  <c r="G383" i="84"/>
  <c r="C383" i="84"/>
  <c r="R382" i="84"/>
  <c r="S382" i="84" s="1"/>
  <c r="Q382" i="84"/>
  <c r="O382" i="84"/>
  <c r="M382" i="84"/>
  <c r="K382" i="84"/>
  <c r="I382" i="84"/>
  <c r="G382" i="84"/>
  <c r="C382" i="84"/>
  <c r="R381" i="84"/>
  <c r="S381" i="84" s="1"/>
  <c r="Q381" i="84"/>
  <c r="O381" i="84"/>
  <c r="M381" i="84"/>
  <c r="K381" i="84"/>
  <c r="I381" i="84"/>
  <c r="G381" i="84"/>
  <c r="C381" i="84"/>
  <c r="R380" i="84"/>
  <c r="S380" i="84" s="1"/>
  <c r="Q380" i="84"/>
  <c r="O380" i="84"/>
  <c r="M380" i="84"/>
  <c r="K380" i="84"/>
  <c r="I380" i="84"/>
  <c r="G380" i="84"/>
  <c r="C380" i="84"/>
  <c r="R379" i="84"/>
  <c r="S379" i="84" s="1"/>
  <c r="Q379" i="84"/>
  <c r="O379" i="84"/>
  <c r="M379" i="84"/>
  <c r="K379" i="84"/>
  <c r="I379" i="84"/>
  <c r="G379" i="84"/>
  <c r="C379" i="84"/>
  <c r="R378" i="84"/>
  <c r="S378" i="84" s="1"/>
  <c r="Q378" i="84"/>
  <c r="O378" i="84"/>
  <c r="M378" i="84"/>
  <c r="K378" i="84"/>
  <c r="I378" i="84"/>
  <c r="G378" i="84"/>
  <c r="C378" i="84"/>
  <c r="R377" i="84"/>
  <c r="S377" i="84" s="1"/>
  <c r="Q377" i="84"/>
  <c r="O377" i="84"/>
  <c r="M377" i="84"/>
  <c r="K377" i="84"/>
  <c r="I377" i="84"/>
  <c r="G377" i="84"/>
  <c r="C377" i="84"/>
  <c r="R376" i="84"/>
  <c r="S376" i="84" s="1"/>
  <c r="Q376" i="84"/>
  <c r="O376" i="84"/>
  <c r="M376" i="84"/>
  <c r="K376" i="84"/>
  <c r="I376" i="84"/>
  <c r="G376" i="84"/>
  <c r="C376" i="84"/>
  <c r="R375" i="84"/>
  <c r="S375" i="84" s="1"/>
  <c r="Q375" i="84"/>
  <c r="O375" i="84"/>
  <c r="M375" i="84"/>
  <c r="K375" i="84"/>
  <c r="I375" i="84"/>
  <c r="G375" i="84"/>
  <c r="C375" i="84"/>
  <c r="R374" i="84"/>
  <c r="S374" i="84" s="1"/>
  <c r="Q374" i="84"/>
  <c r="O374" i="84"/>
  <c r="M374" i="84"/>
  <c r="K374" i="84"/>
  <c r="I374" i="84"/>
  <c r="G374" i="84"/>
  <c r="C374" i="84"/>
  <c r="R373" i="84"/>
  <c r="S373" i="84" s="1"/>
  <c r="Q373" i="84"/>
  <c r="O373" i="84"/>
  <c r="M373" i="84"/>
  <c r="K373" i="84"/>
  <c r="I373" i="84"/>
  <c r="G373" i="84"/>
  <c r="C373" i="84"/>
  <c r="R372" i="84"/>
  <c r="S372" i="84" s="1"/>
  <c r="Q372" i="84"/>
  <c r="O372" i="84"/>
  <c r="M372" i="84"/>
  <c r="K372" i="84"/>
  <c r="I372" i="84"/>
  <c r="G372" i="84"/>
  <c r="C372" i="84"/>
  <c r="R371" i="84"/>
  <c r="S371" i="84" s="1"/>
  <c r="Q371" i="84"/>
  <c r="O371" i="84"/>
  <c r="M371" i="84"/>
  <c r="K371" i="84"/>
  <c r="I371" i="84"/>
  <c r="G371" i="84"/>
  <c r="C371" i="84"/>
  <c r="R370" i="84"/>
  <c r="S370" i="84" s="1"/>
  <c r="Q370" i="84"/>
  <c r="O370" i="84"/>
  <c r="M370" i="84"/>
  <c r="K370" i="84"/>
  <c r="I370" i="84"/>
  <c r="G370" i="84"/>
  <c r="C370" i="84"/>
  <c r="R369" i="84"/>
  <c r="S369" i="84" s="1"/>
  <c r="Q369" i="84"/>
  <c r="O369" i="84"/>
  <c r="M369" i="84"/>
  <c r="K369" i="84"/>
  <c r="I369" i="84"/>
  <c r="G369" i="84"/>
  <c r="C369" i="84"/>
  <c r="R368" i="84"/>
  <c r="S368" i="84" s="1"/>
  <c r="Q368" i="84"/>
  <c r="O368" i="84"/>
  <c r="M368" i="84"/>
  <c r="K368" i="84"/>
  <c r="I368" i="84"/>
  <c r="G368" i="84"/>
  <c r="C368" i="84"/>
  <c r="R367" i="84"/>
  <c r="S367" i="84" s="1"/>
  <c r="Q367" i="84"/>
  <c r="O367" i="84"/>
  <c r="M367" i="84"/>
  <c r="K367" i="84"/>
  <c r="I367" i="84"/>
  <c r="G367" i="84"/>
  <c r="C367" i="84"/>
  <c r="R366" i="84"/>
  <c r="S366" i="84" s="1"/>
  <c r="Q366" i="84"/>
  <c r="O366" i="84"/>
  <c r="M366" i="84"/>
  <c r="K366" i="84"/>
  <c r="I366" i="84"/>
  <c r="G366" i="84"/>
  <c r="C366" i="84"/>
  <c r="R365" i="84"/>
  <c r="S365" i="84" s="1"/>
  <c r="Q365" i="84"/>
  <c r="O365" i="84"/>
  <c r="M365" i="84"/>
  <c r="K365" i="84"/>
  <c r="I365" i="84"/>
  <c r="G365" i="84"/>
  <c r="C365" i="84"/>
  <c r="R364" i="84"/>
  <c r="S364" i="84" s="1"/>
  <c r="Q364" i="84"/>
  <c r="O364" i="84"/>
  <c r="M364" i="84"/>
  <c r="K364" i="84"/>
  <c r="I364" i="84"/>
  <c r="G364" i="84"/>
  <c r="C364" i="84"/>
  <c r="R363" i="84"/>
  <c r="S363" i="84" s="1"/>
  <c r="Q363" i="84"/>
  <c r="O363" i="84"/>
  <c r="M363" i="84"/>
  <c r="K363" i="84"/>
  <c r="I363" i="84"/>
  <c r="G363" i="84"/>
  <c r="C363" i="84"/>
  <c r="R362" i="84"/>
  <c r="S362" i="84" s="1"/>
  <c r="Q362" i="84"/>
  <c r="O362" i="84"/>
  <c r="M362" i="84"/>
  <c r="K362" i="84"/>
  <c r="I362" i="84"/>
  <c r="G362" i="84"/>
  <c r="C362" i="84"/>
  <c r="R361" i="84"/>
  <c r="S361" i="84" s="1"/>
  <c r="Q361" i="84"/>
  <c r="O361" i="84"/>
  <c r="M361" i="84"/>
  <c r="K361" i="84"/>
  <c r="I361" i="84"/>
  <c r="G361" i="84"/>
  <c r="C361" i="84"/>
  <c r="R360" i="84"/>
  <c r="S360" i="84" s="1"/>
  <c r="Q360" i="84"/>
  <c r="O360" i="84"/>
  <c r="M360" i="84"/>
  <c r="K360" i="84"/>
  <c r="I360" i="84"/>
  <c r="G360" i="84"/>
  <c r="C360" i="84"/>
  <c r="R359" i="84"/>
  <c r="S359" i="84" s="1"/>
  <c r="Q359" i="84"/>
  <c r="O359" i="84"/>
  <c r="M359" i="84"/>
  <c r="K359" i="84"/>
  <c r="I359" i="84"/>
  <c r="G359" i="84"/>
  <c r="C359" i="84"/>
  <c r="R358" i="84"/>
  <c r="S358" i="84" s="1"/>
  <c r="Q358" i="84"/>
  <c r="O358" i="84"/>
  <c r="M358" i="84"/>
  <c r="K358" i="84"/>
  <c r="I358" i="84"/>
  <c r="G358" i="84"/>
  <c r="C358" i="84"/>
  <c r="R357" i="84"/>
  <c r="S357" i="84" s="1"/>
  <c r="Q357" i="84"/>
  <c r="O357" i="84"/>
  <c r="M357" i="84"/>
  <c r="K357" i="84"/>
  <c r="I357" i="84"/>
  <c r="G357" i="84"/>
  <c r="C357" i="84"/>
  <c r="R356" i="84"/>
  <c r="S356" i="84" s="1"/>
  <c r="Q356" i="84"/>
  <c r="O356" i="84"/>
  <c r="M356" i="84"/>
  <c r="K356" i="84"/>
  <c r="I356" i="84"/>
  <c r="G356" i="84"/>
  <c r="C356" i="84"/>
  <c r="R355" i="84"/>
  <c r="S355" i="84" s="1"/>
  <c r="Q355" i="84"/>
  <c r="O355" i="84"/>
  <c r="M355" i="84"/>
  <c r="K355" i="84"/>
  <c r="I355" i="84"/>
  <c r="G355" i="84"/>
  <c r="C355" i="84"/>
  <c r="R354" i="84"/>
  <c r="S354" i="84" s="1"/>
  <c r="Q354" i="84"/>
  <c r="O354" i="84"/>
  <c r="M354" i="84"/>
  <c r="K354" i="84"/>
  <c r="I354" i="84"/>
  <c r="G354" i="84"/>
  <c r="C354" i="84"/>
  <c r="R353" i="84"/>
  <c r="S353" i="84" s="1"/>
  <c r="Q353" i="84"/>
  <c r="O353" i="84"/>
  <c r="M353" i="84"/>
  <c r="K353" i="84"/>
  <c r="I353" i="84"/>
  <c r="G353" i="84"/>
  <c r="C353" i="84"/>
  <c r="R352" i="84"/>
  <c r="S352" i="84" s="1"/>
  <c r="Q352" i="84"/>
  <c r="O352" i="84"/>
  <c r="M352" i="84"/>
  <c r="K352" i="84"/>
  <c r="I352" i="84"/>
  <c r="G352" i="84"/>
  <c r="C352" i="84"/>
  <c r="R351" i="84"/>
  <c r="S351" i="84" s="1"/>
  <c r="Q351" i="84"/>
  <c r="O351" i="84"/>
  <c r="M351" i="84"/>
  <c r="K351" i="84"/>
  <c r="I351" i="84"/>
  <c r="G351" i="84"/>
  <c r="C351" i="84"/>
  <c r="R350" i="84"/>
  <c r="S350" i="84" s="1"/>
  <c r="Q350" i="84"/>
  <c r="O350" i="84"/>
  <c r="M350" i="84"/>
  <c r="K350" i="84"/>
  <c r="I350" i="84"/>
  <c r="G350" i="84"/>
  <c r="C350" i="84"/>
  <c r="R349" i="84"/>
  <c r="S349" i="84" s="1"/>
  <c r="Q349" i="84"/>
  <c r="O349" i="84"/>
  <c r="M349" i="84"/>
  <c r="K349" i="84"/>
  <c r="I349" i="84"/>
  <c r="G349" i="84"/>
  <c r="C349" i="84"/>
  <c r="R348" i="84"/>
  <c r="S348" i="84" s="1"/>
  <c r="Q348" i="84"/>
  <c r="O348" i="84"/>
  <c r="M348" i="84"/>
  <c r="K348" i="84"/>
  <c r="I348" i="84"/>
  <c r="G348" i="84"/>
  <c r="C348" i="84"/>
  <c r="R347" i="84"/>
  <c r="S347" i="84" s="1"/>
  <c r="Q347" i="84"/>
  <c r="O347" i="84"/>
  <c r="M347" i="84"/>
  <c r="K347" i="84"/>
  <c r="I347" i="84"/>
  <c r="G347" i="84"/>
  <c r="C347" i="84"/>
  <c r="R346" i="84"/>
  <c r="S346" i="84" s="1"/>
  <c r="Q346" i="84"/>
  <c r="O346" i="84"/>
  <c r="M346" i="84"/>
  <c r="K346" i="84"/>
  <c r="I346" i="84"/>
  <c r="G346" i="84"/>
  <c r="C346" i="84"/>
  <c r="R345" i="84"/>
  <c r="S345" i="84" s="1"/>
  <c r="Q345" i="84"/>
  <c r="O345" i="84"/>
  <c r="M345" i="84"/>
  <c r="K345" i="84"/>
  <c r="I345" i="84"/>
  <c r="G345" i="84"/>
  <c r="C345" i="84"/>
  <c r="R344" i="84"/>
  <c r="S344" i="84" s="1"/>
  <c r="Q344" i="84"/>
  <c r="O344" i="84"/>
  <c r="M344" i="84"/>
  <c r="K344" i="84"/>
  <c r="I344" i="84"/>
  <c r="G344" i="84"/>
  <c r="C344" i="84"/>
  <c r="R343" i="84"/>
  <c r="S343" i="84" s="1"/>
  <c r="Q343" i="84"/>
  <c r="O343" i="84"/>
  <c r="M343" i="84"/>
  <c r="K343" i="84"/>
  <c r="I343" i="84"/>
  <c r="G343" i="84"/>
  <c r="C343" i="84"/>
  <c r="R342" i="84"/>
  <c r="S342" i="84" s="1"/>
  <c r="Q342" i="84"/>
  <c r="O342" i="84"/>
  <c r="M342" i="84"/>
  <c r="K342" i="84"/>
  <c r="I342" i="84"/>
  <c r="G342" i="84"/>
  <c r="C342" i="84"/>
  <c r="R341" i="84"/>
  <c r="S341" i="84" s="1"/>
  <c r="Q341" i="84"/>
  <c r="O341" i="84"/>
  <c r="M341" i="84"/>
  <c r="K341" i="84"/>
  <c r="I341" i="84"/>
  <c r="G341" i="84"/>
  <c r="C341" i="84"/>
  <c r="R340" i="84"/>
  <c r="S340" i="84" s="1"/>
  <c r="Q340" i="84"/>
  <c r="O340" i="84"/>
  <c r="M340" i="84"/>
  <c r="K340" i="84"/>
  <c r="I340" i="84"/>
  <c r="G340" i="84"/>
  <c r="C340" i="84"/>
  <c r="R339" i="84"/>
  <c r="S339" i="84" s="1"/>
  <c r="Q339" i="84"/>
  <c r="O339" i="84"/>
  <c r="M339" i="84"/>
  <c r="K339" i="84"/>
  <c r="I339" i="84"/>
  <c r="G339" i="84"/>
  <c r="C339" i="84"/>
  <c r="R338" i="84"/>
  <c r="S338" i="84" s="1"/>
  <c r="Q338" i="84"/>
  <c r="O338" i="84"/>
  <c r="M338" i="84"/>
  <c r="K338" i="84"/>
  <c r="I338" i="84"/>
  <c r="G338" i="84"/>
  <c r="C338" i="84"/>
  <c r="R337" i="84"/>
  <c r="S337" i="84" s="1"/>
  <c r="Q337" i="84"/>
  <c r="O337" i="84"/>
  <c r="M337" i="84"/>
  <c r="K337" i="84"/>
  <c r="I337" i="84"/>
  <c r="G337" i="84"/>
  <c r="C337" i="84"/>
  <c r="R336" i="84"/>
  <c r="S336" i="84" s="1"/>
  <c r="Q336" i="84"/>
  <c r="O336" i="84"/>
  <c r="M336" i="84"/>
  <c r="K336" i="84"/>
  <c r="I336" i="84"/>
  <c r="G336" i="84"/>
  <c r="C336" i="84"/>
  <c r="R335" i="84"/>
  <c r="S335" i="84" s="1"/>
  <c r="Q335" i="84"/>
  <c r="O335" i="84"/>
  <c r="M335" i="84"/>
  <c r="K335" i="84"/>
  <c r="I335" i="84"/>
  <c r="G335" i="84"/>
  <c r="C335" i="84"/>
  <c r="R334" i="84"/>
  <c r="S334" i="84" s="1"/>
  <c r="Q334" i="84"/>
  <c r="O334" i="84"/>
  <c r="M334" i="84"/>
  <c r="K334" i="84"/>
  <c r="I334" i="84"/>
  <c r="G334" i="84"/>
  <c r="C334" i="84"/>
  <c r="R333" i="84"/>
  <c r="S333" i="84" s="1"/>
  <c r="Q333" i="84"/>
  <c r="O333" i="84"/>
  <c r="M333" i="84"/>
  <c r="K333" i="84"/>
  <c r="I333" i="84"/>
  <c r="G333" i="84"/>
  <c r="C333" i="84"/>
  <c r="R332" i="84"/>
  <c r="S332" i="84" s="1"/>
  <c r="Q332" i="84"/>
  <c r="O332" i="84"/>
  <c r="M332" i="84"/>
  <c r="K332" i="84"/>
  <c r="I332" i="84"/>
  <c r="G332" i="84"/>
  <c r="C332" i="84"/>
  <c r="R331" i="84"/>
  <c r="S331" i="84" s="1"/>
  <c r="Q331" i="84"/>
  <c r="O331" i="84"/>
  <c r="M331" i="84"/>
  <c r="K331" i="84"/>
  <c r="I331" i="84"/>
  <c r="G331" i="84"/>
  <c r="C331" i="84"/>
  <c r="R330" i="84"/>
  <c r="S330" i="84" s="1"/>
  <c r="Q330" i="84"/>
  <c r="O330" i="84"/>
  <c r="M330" i="84"/>
  <c r="K330" i="84"/>
  <c r="I330" i="84"/>
  <c r="G330" i="84"/>
  <c r="C330" i="84"/>
  <c r="R329" i="84"/>
  <c r="S329" i="84" s="1"/>
  <c r="Q329" i="84"/>
  <c r="O329" i="84"/>
  <c r="M329" i="84"/>
  <c r="K329" i="84"/>
  <c r="I329" i="84"/>
  <c r="G329" i="84"/>
  <c r="C329" i="84"/>
  <c r="R328" i="84"/>
  <c r="S328" i="84" s="1"/>
  <c r="Q328" i="84"/>
  <c r="O328" i="84"/>
  <c r="M328" i="84"/>
  <c r="K328" i="84"/>
  <c r="I328" i="84"/>
  <c r="G328" i="84"/>
  <c r="C328" i="84"/>
  <c r="R327" i="84"/>
  <c r="S327" i="84" s="1"/>
  <c r="Q327" i="84"/>
  <c r="O327" i="84"/>
  <c r="M327" i="84"/>
  <c r="K327" i="84"/>
  <c r="I327" i="84"/>
  <c r="G327" i="84"/>
  <c r="C327" i="84"/>
  <c r="R326" i="84"/>
  <c r="S326" i="84" s="1"/>
  <c r="Q326" i="84"/>
  <c r="O326" i="84"/>
  <c r="M326" i="84"/>
  <c r="K326" i="84"/>
  <c r="I326" i="84"/>
  <c r="G326" i="84"/>
  <c r="C326" i="84"/>
  <c r="R325" i="84"/>
  <c r="S325" i="84" s="1"/>
  <c r="Q325" i="84"/>
  <c r="O325" i="84"/>
  <c r="M325" i="84"/>
  <c r="K325" i="84"/>
  <c r="I325" i="84"/>
  <c r="G325" i="84"/>
  <c r="C325" i="84"/>
  <c r="R324" i="84"/>
  <c r="S324" i="84" s="1"/>
  <c r="Q324" i="84"/>
  <c r="O324" i="84"/>
  <c r="M324" i="84"/>
  <c r="K324" i="84"/>
  <c r="I324" i="84"/>
  <c r="G324" i="84"/>
  <c r="C324" i="84"/>
  <c r="R323" i="84"/>
  <c r="S323" i="84" s="1"/>
  <c r="Q323" i="84"/>
  <c r="O323" i="84"/>
  <c r="M323" i="84"/>
  <c r="K323" i="84"/>
  <c r="I323" i="84"/>
  <c r="G323" i="84"/>
  <c r="C323" i="84"/>
  <c r="R322" i="84"/>
  <c r="S322" i="84" s="1"/>
  <c r="Q322" i="84"/>
  <c r="O322" i="84"/>
  <c r="M322" i="84"/>
  <c r="K322" i="84"/>
  <c r="I322" i="84"/>
  <c r="G322" i="84"/>
  <c r="C322" i="84"/>
  <c r="R321" i="84"/>
  <c r="S321" i="84" s="1"/>
  <c r="Q321" i="84"/>
  <c r="O321" i="84"/>
  <c r="M321" i="84"/>
  <c r="K321" i="84"/>
  <c r="I321" i="84"/>
  <c r="G321" i="84"/>
  <c r="C321" i="84"/>
  <c r="R320" i="84"/>
  <c r="S320" i="84" s="1"/>
  <c r="Q320" i="84"/>
  <c r="O320" i="84"/>
  <c r="M320" i="84"/>
  <c r="K320" i="84"/>
  <c r="I320" i="84"/>
  <c r="G320" i="84"/>
  <c r="C320" i="84"/>
  <c r="R319" i="84"/>
  <c r="S319" i="84" s="1"/>
  <c r="Q319" i="84"/>
  <c r="O319" i="84"/>
  <c r="M319" i="84"/>
  <c r="K319" i="84"/>
  <c r="I319" i="84"/>
  <c r="G319" i="84"/>
  <c r="C319" i="84"/>
  <c r="R318" i="84"/>
  <c r="S318" i="84" s="1"/>
  <c r="Q318" i="84"/>
  <c r="O318" i="84"/>
  <c r="M318" i="84"/>
  <c r="K318" i="84"/>
  <c r="I318" i="84"/>
  <c r="G318" i="84"/>
  <c r="C318" i="84"/>
  <c r="R317" i="84"/>
  <c r="S317" i="84" s="1"/>
  <c r="Q317" i="84"/>
  <c r="O317" i="84"/>
  <c r="M317" i="84"/>
  <c r="K317" i="84"/>
  <c r="I317" i="84"/>
  <c r="G317" i="84"/>
  <c r="C317" i="84"/>
  <c r="R316" i="84"/>
  <c r="S316" i="84" s="1"/>
  <c r="Q316" i="84"/>
  <c r="O316" i="84"/>
  <c r="M316" i="84"/>
  <c r="K316" i="84"/>
  <c r="I316" i="84"/>
  <c r="G316" i="84"/>
  <c r="C316" i="84"/>
  <c r="R315" i="84"/>
  <c r="S315" i="84" s="1"/>
  <c r="Q315" i="84"/>
  <c r="O315" i="84"/>
  <c r="M315" i="84"/>
  <c r="K315" i="84"/>
  <c r="I315" i="84"/>
  <c r="G315" i="84"/>
  <c r="C315" i="84"/>
  <c r="R314" i="84"/>
  <c r="S314" i="84" s="1"/>
  <c r="Q314" i="84"/>
  <c r="O314" i="84"/>
  <c r="M314" i="84"/>
  <c r="K314" i="84"/>
  <c r="I314" i="84"/>
  <c r="G314" i="84"/>
  <c r="C314" i="84"/>
  <c r="R313" i="84"/>
  <c r="S313" i="84" s="1"/>
  <c r="Q313" i="84"/>
  <c r="O313" i="84"/>
  <c r="M313" i="84"/>
  <c r="K313" i="84"/>
  <c r="I313" i="84"/>
  <c r="G313" i="84"/>
  <c r="C313" i="84"/>
  <c r="R312" i="84"/>
  <c r="S312" i="84" s="1"/>
  <c r="Q312" i="84"/>
  <c r="O312" i="84"/>
  <c r="M312" i="84"/>
  <c r="K312" i="84"/>
  <c r="I312" i="84"/>
  <c r="G312" i="84"/>
  <c r="C312" i="84"/>
  <c r="R311" i="84"/>
  <c r="S311" i="84" s="1"/>
  <c r="Q311" i="84"/>
  <c r="O311" i="84"/>
  <c r="M311" i="84"/>
  <c r="K311" i="84"/>
  <c r="I311" i="84"/>
  <c r="G311" i="84"/>
  <c r="C311" i="84"/>
  <c r="R310" i="84"/>
  <c r="S310" i="84" s="1"/>
  <c r="Q310" i="84"/>
  <c r="O310" i="84"/>
  <c r="M310" i="84"/>
  <c r="K310" i="84"/>
  <c r="I310" i="84"/>
  <c r="G310" i="84"/>
  <c r="C310" i="84"/>
  <c r="R309" i="84"/>
  <c r="S309" i="84" s="1"/>
  <c r="Q309" i="84"/>
  <c r="O309" i="84"/>
  <c r="M309" i="84"/>
  <c r="K309" i="84"/>
  <c r="I309" i="84"/>
  <c r="G309" i="84"/>
  <c r="C309" i="84"/>
  <c r="R308" i="84"/>
  <c r="S308" i="84" s="1"/>
  <c r="Q308" i="84"/>
  <c r="O308" i="84"/>
  <c r="M308" i="84"/>
  <c r="K308" i="84"/>
  <c r="I308" i="84"/>
  <c r="G308" i="84"/>
  <c r="C308" i="84"/>
  <c r="R307" i="84"/>
  <c r="S307" i="84" s="1"/>
  <c r="Q307" i="84"/>
  <c r="O307" i="84"/>
  <c r="M307" i="84"/>
  <c r="K307" i="84"/>
  <c r="I307" i="84"/>
  <c r="G307" i="84"/>
  <c r="C307" i="84"/>
  <c r="R306" i="84"/>
  <c r="S306" i="84" s="1"/>
  <c r="Q306" i="84"/>
  <c r="O306" i="84"/>
  <c r="M306" i="84"/>
  <c r="K306" i="84"/>
  <c r="I306" i="84"/>
  <c r="G306" i="84"/>
  <c r="C306" i="84"/>
  <c r="R305" i="84"/>
  <c r="S305" i="84" s="1"/>
  <c r="Q305" i="84"/>
  <c r="O305" i="84"/>
  <c r="M305" i="84"/>
  <c r="K305" i="84"/>
  <c r="I305" i="84"/>
  <c r="G305" i="84"/>
  <c r="C305" i="84"/>
  <c r="R304" i="84"/>
  <c r="S304" i="84" s="1"/>
  <c r="Q304" i="84"/>
  <c r="O304" i="84"/>
  <c r="M304" i="84"/>
  <c r="K304" i="84"/>
  <c r="I304" i="84"/>
  <c r="G304" i="84"/>
  <c r="C304" i="84"/>
  <c r="R303" i="84"/>
  <c r="S303" i="84" s="1"/>
  <c r="Q303" i="84"/>
  <c r="O303" i="84"/>
  <c r="M303" i="84"/>
  <c r="K303" i="84"/>
  <c r="I303" i="84"/>
  <c r="G303" i="84"/>
  <c r="C303" i="84"/>
  <c r="R302" i="84"/>
  <c r="S302" i="84" s="1"/>
  <c r="Q302" i="84"/>
  <c r="O302" i="84"/>
  <c r="M302" i="84"/>
  <c r="K302" i="84"/>
  <c r="I302" i="84"/>
  <c r="G302" i="84"/>
  <c r="C302" i="84"/>
  <c r="R301" i="84"/>
  <c r="S301" i="84" s="1"/>
  <c r="Q301" i="84"/>
  <c r="O301" i="84"/>
  <c r="M301" i="84"/>
  <c r="K301" i="84"/>
  <c r="I301" i="84"/>
  <c r="G301" i="84"/>
  <c r="C301" i="84"/>
  <c r="R300" i="84"/>
  <c r="S300" i="84" s="1"/>
  <c r="Q300" i="84"/>
  <c r="O300" i="84"/>
  <c r="M300" i="84"/>
  <c r="K300" i="84"/>
  <c r="I300" i="84"/>
  <c r="G300" i="84"/>
  <c r="C300" i="84"/>
  <c r="R299" i="84"/>
  <c r="S299" i="84" s="1"/>
  <c r="Q299" i="84"/>
  <c r="O299" i="84"/>
  <c r="M299" i="84"/>
  <c r="K299" i="84"/>
  <c r="I299" i="84"/>
  <c r="G299" i="84"/>
  <c r="C299" i="84"/>
  <c r="R298" i="84"/>
  <c r="S298" i="84" s="1"/>
  <c r="Q298" i="84"/>
  <c r="O298" i="84"/>
  <c r="M298" i="84"/>
  <c r="K298" i="84"/>
  <c r="I298" i="84"/>
  <c r="G298" i="84"/>
  <c r="C298" i="84"/>
  <c r="R297" i="84"/>
  <c r="S297" i="84" s="1"/>
  <c r="Q297" i="84"/>
  <c r="O297" i="84"/>
  <c r="M297" i="84"/>
  <c r="K297" i="84"/>
  <c r="I297" i="84"/>
  <c r="G297" i="84"/>
  <c r="C297" i="84"/>
  <c r="R296" i="84"/>
  <c r="S296" i="84" s="1"/>
  <c r="Q296" i="84"/>
  <c r="O296" i="84"/>
  <c r="M296" i="84"/>
  <c r="K296" i="84"/>
  <c r="I296" i="84"/>
  <c r="G296" i="84"/>
  <c r="C296" i="84"/>
  <c r="R295" i="84"/>
  <c r="S295" i="84" s="1"/>
  <c r="Q295" i="84"/>
  <c r="O295" i="84"/>
  <c r="M295" i="84"/>
  <c r="K295" i="84"/>
  <c r="I295" i="84"/>
  <c r="G295" i="84"/>
  <c r="C295" i="84"/>
  <c r="R294" i="84"/>
  <c r="S294" i="84" s="1"/>
  <c r="Q294" i="84"/>
  <c r="O294" i="84"/>
  <c r="M294" i="84"/>
  <c r="K294" i="84"/>
  <c r="I294" i="84"/>
  <c r="G294" i="84"/>
  <c r="C294" i="84"/>
  <c r="R293" i="84"/>
  <c r="S293" i="84" s="1"/>
  <c r="Q293" i="84"/>
  <c r="O293" i="84"/>
  <c r="M293" i="84"/>
  <c r="K293" i="84"/>
  <c r="I293" i="84"/>
  <c r="G293" i="84"/>
  <c r="C293" i="84"/>
  <c r="R292" i="84"/>
  <c r="S292" i="84" s="1"/>
  <c r="Q292" i="84"/>
  <c r="O292" i="84"/>
  <c r="M292" i="84"/>
  <c r="K292" i="84"/>
  <c r="I292" i="84"/>
  <c r="G292" i="84"/>
  <c r="C292" i="84"/>
  <c r="R291" i="84"/>
  <c r="S291" i="84" s="1"/>
  <c r="Q291" i="84"/>
  <c r="O291" i="84"/>
  <c r="M291" i="84"/>
  <c r="K291" i="84"/>
  <c r="I291" i="84"/>
  <c r="G291" i="84"/>
  <c r="C291" i="84"/>
  <c r="R290" i="84"/>
  <c r="S290" i="84" s="1"/>
  <c r="Q290" i="84"/>
  <c r="O290" i="84"/>
  <c r="M290" i="84"/>
  <c r="K290" i="84"/>
  <c r="I290" i="84"/>
  <c r="G290" i="84"/>
  <c r="C290" i="84"/>
  <c r="R289" i="84"/>
  <c r="S289" i="84" s="1"/>
  <c r="Q289" i="84"/>
  <c r="O289" i="84"/>
  <c r="M289" i="84"/>
  <c r="K289" i="84"/>
  <c r="I289" i="84"/>
  <c r="G289" i="84"/>
  <c r="C289" i="84"/>
  <c r="R288" i="84"/>
  <c r="S288" i="84" s="1"/>
  <c r="Q288" i="84"/>
  <c r="O288" i="84"/>
  <c r="M288" i="84"/>
  <c r="K288" i="84"/>
  <c r="I288" i="84"/>
  <c r="G288" i="84"/>
  <c r="C288" i="84"/>
  <c r="R287" i="84"/>
  <c r="S287" i="84" s="1"/>
  <c r="Q287" i="84"/>
  <c r="O287" i="84"/>
  <c r="M287" i="84"/>
  <c r="K287" i="84"/>
  <c r="I287" i="84"/>
  <c r="G287" i="84"/>
  <c r="C287" i="84"/>
  <c r="R286" i="84"/>
  <c r="S286" i="84" s="1"/>
  <c r="Q286" i="84"/>
  <c r="O286" i="84"/>
  <c r="M286" i="84"/>
  <c r="K286" i="84"/>
  <c r="I286" i="84"/>
  <c r="G286" i="84"/>
  <c r="C286" i="84"/>
  <c r="R285" i="84"/>
  <c r="S285" i="84" s="1"/>
  <c r="Q285" i="84"/>
  <c r="O285" i="84"/>
  <c r="M285" i="84"/>
  <c r="K285" i="84"/>
  <c r="I285" i="84"/>
  <c r="G285" i="84"/>
  <c r="C285" i="84"/>
  <c r="R284" i="84"/>
  <c r="S284" i="84" s="1"/>
  <c r="Q284" i="84"/>
  <c r="O284" i="84"/>
  <c r="M284" i="84"/>
  <c r="K284" i="84"/>
  <c r="I284" i="84"/>
  <c r="G284" i="84"/>
  <c r="C284" i="84"/>
  <c r="R283" i="84"/>
  <c r="S283" i="84" s="1"/>
  <c r="Q283" i="84"/>
  <c r="O283" i="84"/>
  <c r="M283" i="84"/>
  <c r="K283" i="84"/>
  <c r="I283" i="84"/>
  <c r="G283" i="84"/>
  <c r="C283" i="84"/>
  <c r="R282" i="84"/>
  <c r="S282" i="84" s="1"/>
  <c r="Q282" i="84"/>
  <c r="O282" i="84"/>
  <c r="M282" i="84"/>
  <c r="K282" i="84"/>
  <c r="I282" i="84"/>
  <c r="G282" i="84"/>
  <c r="C282" i="84"/>
  <c r="R281" i="84"/>
  <c r="S281" i="84" s="1"/>
  <c r="Q281" i="84"/>
  <c r="O281" i="84"/>
  <c r="M281" i="84"/>
  <c r="K281" i="84"/>
  <c r="I281" i="84"/>
  <c r="G281" i="84"/>
  <c r="C281" i="84"/>
  <c r="R280" i="84"/>
  <c r="S280" i="84" s="1"/>
  <c r="Q280" i="84"/>
  <c r="O280" i="84"/>
  <c r="M280" i="84"/>
  <c r="K280" i="84"/>
  <c r="I280" i="84"/>
  <c r="G280" i="84"/>
  <c r="C280" i="84"/>
  <c r="R279" i="84"/>
  <c r="S279" i="84" s="1"/>
  <c r="Q279" i="84"/>
  <c r="O279" i="84"/>
  <c r="M279" i="84"/>
  <c r="K279" i="84"/>
  <c r="I279" i="84"/>
  <c r="G279" i="84"/>
  <c r="C279" i="84"/>
  <c r="R278" i="84"/>
  <c r="S278" i="84" s="1"/>
  <c r="Q278" i="84"/>
  <c r="O278" i="84"/>
  <c r="M278" i="84"/>
  <c r="K278" i="84"/>
  <c r="I278" i="84"/>
  <c r="G278" i="84"/>
  <c r="C278" i="84"/>
  <c r="R277" i="84"/>
  <c r="S277" i="84" s="1"/>
  <c r="Q277" i="84"/>
  <c r="O277" i="84"/>
  <c r="M277" i="84"/>
  <c r="K277" i="84"/>
  <c r="I277" i="84"/>
  <c r="G277" i="84"/>
  <c r="C277" i="84"/>
  <c r="R276" i="84"/>
  <c r="S276" i="84" s="1"/>
  <c r="Q276" i="84"/>
  <c r="O276" i="84"/>
  <c r="M276" i="84"/>
  <c r="K276" i="84"/>
  <c r="I276" i="84"/>
  <c r="G276" i="84"/>
  <c r="C276" i="84"/>
  <c r="R275" i="84"/>
  <c r="S275" i="84" s="1"/>
  <c r="Q275" i="84"/>
  <c r="O275" i="84"/>
  <c r="M275" i="84"/>
  <c r="K275" i="84"/>
  <c r="I275" i="84"/>
  <c r="G275" i="84"/>
  <c r="C275" i="84"/>
  <c r="R274" i="84"/>
  <c r="S274" i="84" s="1"/>
  <c r="Q274" i="84"/>
  <c r="O274" i="84"/>
  <c r="M274" i="84"/>
  <c r="K274" i="84"/>
  <c r="I274" i="84"/>
  <c r="G274" i="84"/>
  <c r="C274" i="84"/>
  <c r="R273" i="84"/>
  <c r="S273" i="84" s="1"/>
  <c r="Q273" i="84"/>
  <c r="O273" i="84"/>
  <c r="M273" i="84"/>
  <c r="K273" i="84"/>
  <c r="I273" i="84"/>
  <c r="G273" i="84"/>
  <c r="C273" i="84"/>
  <c r="R272" i="84"/>
  <c r="S272" i="84" s="1"/>
  <c r="Q272" i="84"/>
  <c r="O272" i="84"/>
  <c r="M272" i="84"/>
  <c r="K272" i="84"/>
  <c r="I272" i="84"/>
  <c r="G272" i="84"/>
  <c r="C272" i="84"/>
  <c r="R271" i="84"/>
  <c r="S271" i="84" s="1"/>
  <c r="Q271" i="84"/>
  <c r="O271" i="84"/>
  <c r="M271" i="84"/>
  <c r="K271" i="84"/>
  <c r="I271" i="84"/>
  <c r="G271" i="84"/>
  <c r="C271" i="84"/>
  <c r="R270" i="84"/>
  <c r="S270" i="84" s="1"/>
  <c r="Q270" i="84"/>
  <c r="O270" i="84"/>
  <c r="M270" i="84"/>
  <c r="K270" i="84"/>
  <c r="I270" i="84"/>
  <c r="G270" i="84"/>
  <c r="C270" i="84"/>
  <c r="R269" i="84"/>
  <c r="S269" i="84" s="1"/>
  <c r="Q269" i="84"/>
  <c r="O269" i="84"/>
  <c r="M269" i="84"/>
  <c r="K269" i="84"/>
  <c r="I269" i="84"/>
  <c r="G269" i="84"/>
  <c r="C269" i="84"/>
  <c r="R268" i="84"/>
  <c r="S268" i="84" s="1"/>
  <c r="Q268" i="84"/>
  <c r="O268" i="84"/>
  <c r="M268" i="84"/>
  <c r="K268" i="84"/>
  <c r="I268" i="84"/>
  <c r="G268" i="84"/>
  <c r="C268" i="84"/>
  <c r="R267" i="84"/>
  <c r="S267" i="84" s="1"/>
  <c r="Q267" i="84"/>
  <c r="O267" i="84"/>
  <c r="M267" i="84"/>
  <c r="K267" i="84"/>
  <c r="I267" i="84"/>
  <c r="G267" i="84"/>
  <c r="C267" i="84"/>
  <c r="R266" i="84"/>
  <c r="S266" i="84" s="1"/>
  <c r="Q266" i="84"/>
  <c r="O266" i="84"/>
  <c r="M266" i="84"/>
  <c r="K266" i="84"/>
  <c r="I266" i="84"/>
  <c r="G266" i="84"/>
  <c r="C266" i="84"/>
  <c r="R265" i="84"/>
  <c r="S265" i="84" s="1"/>
  <c r="Q265" i="84"/>
  <c r="O265" i="84"/>
  <c r="M265" i="84"/>
  <c r="K265" i="84"/>
  <c r="I265" i="84"/>
  <c r="G265" i="84"/>
  <c r="C265" i="84"/>
  <c r="R264" i="84"/>
  <c r="S264" i="84" s="1"/>
  <c r="Q264" i="84"/>
  <c r="O264" i="84"/>
  <c r="M264" i="84"/>
  <c r="K264" i="84"/>
  <c r="I264" i="84"/>
  <c r="G264" i="84"/>
  <c r="C264" i="84"/>
  <c r="R263" i="84"/>
  <c r="S263" i="84" s="1"/>
  <c r="Q263" i="84"/>
  <c r="O263" i="84"/>
  <c r="M263" i="84"/>
  <c r="K263" i="84"/>
  <c r="I263" i="84"/>
  <c r="G263" i="84"/>
  <c r="C263" i="84"/>
  <c r="R262" i="84"/>
  <c r="S262" i="84" s="1"/>
  <c r="Q262" i="84"/>
  <c r="O262" i="84"/>
  <c r="M262" i="84"/>
  <c r="K262" i="84"/>
  <c r="I262" i="84"/>
  <c r="G262" i="84"/>
  <c r="C262" i="84"/>
  <c r="R261" i="84"/>
  <c r="S261" i="84" s="1"/>
  <c r="Q261" i="84"/>
  <c r="O261" i="84"/>
  <c r="M261" i="84"/>
  <c r="K261" i="84"/>
  <c r="I261" i="84"/>
  <c r="G261" i="84"/>
  <c r="C261" i="84"/>
  <c r="R260" i="84"/>
  <c r="S260" i="84" s="1"/>
  <c r="Q260" i="84"/>
  <c r="O260" i="84"/>
  <c r="M260" i="84"/>
  <c r="K260" i="84"/>
  <c r="I260" i="84"/>
  <c r="G260" i="84"/>
  <c r="C260" i="84"/>
  <c r="R259" i="84"/>
  <c r="S259" i="84" s="1"/>
  <c r="Q259" i="84"/>
  <c r="O259" i="84"/>
  <c r="M259" i="84"/>
  <c r="K259" i="84"/>
  <c r="I259" i="84"/>
  <c r="G259" i="84"/>
  <c r="C259" i="84"/>
  <c r="R258" i="84"/>
  <c r="S258" i="84" s="1"/>
  <c r="Q258" i="84"/>
  <c r="O258" i="84"/>
  <c r="M258" i="84"/>
  <c r="K258" i="84"/>
  <c r="I258" i="84"/>
  <c r="G258" i="84"/>
  <c r="C258" i="84"/>
  <c r="R257" i="84"/>
  <c r="S257" i="84" s="1"/>
  <c r="Q257" i="84"/>
  <c r="O257" i="84"/>
  <c r="M257" i="84"/>
  <c r="K257" i="84"/>
  <c r="I257" i="84"/>
  <c r="G257" i="84"/>
  <c r="C257" i="84"/>
  <c r="R256" i="84"/>
  <c r="S256" i="84" s="1"/>
  <c r="Q256" i="84"/>
  <c r="O256" i="84"/>
  <c r="M256" i="84"/>
  <c r="K256" i="84"/>
  <c r="I256" i="84"/>
  <c r="G256" i="84"/>
  <c r="C256" i="84"/>
  <c r="R255" i="84"/>
  <c r="S255" i="84" s="1"/>
  <c r="Q255" i="84"/>
  <c r="O255" i="84"/>
  <c r="M255" i="84"/>
  <c r="K255" i="84"/>
  <c r="I255" i="84"/>
  <c r="G255" i="84"/>
  <c r="C255" i="84"/>
  <c r="R254" i="84"/>
  <c r="S254" i="84" s="1"/>
  <c r="Q254" i="84"/>
  <c r="O254" i="84"/>
  <c r="M254" i="84"/>
  <c r="K254" i="84"/>
  <c r="I254" i="84"/>
  <c r="G254" i="84"/>
  <c r="C254" i="84"/>
  <c r="R253" i="84"/>
  <c r="S253" i="84" s="1"/>
  <c r="Q253" i="84"/>
  <c r="O253" i="84"/>
  <c r="M253" i="84"/>
  <c r="K253" i="84"/>
  <c r="I253" i="84"/>
  <c r="G253" i="84"/>
  <c r="C253" i="84"/>
  <c r="R252" i="84"/>
  <c r="S252" i="84" s="1"/>
  <c r="Q252" i="84"/>
  <c r="O252" i="84"/>
  <c r="M252" i="84"/>
  <c r="K252" i="84"/>
  <c r="I252" i="84"/>
  <c r="G252" i="84"/>
  <c r="C252" i="84"/>
  <c r="R251" i="84"/>
  <c r="S251" i="84" s="1"/>
  <c r="Q251" i="84"/>
  <c r="O251" i="84"/>
  <c r="M251" i="84"/>
  <c r="K251" i="84"/>
  <c r="I251" i="84"/>
  <c r="G251" i="84"/>
  <c r="C251" i="84"/>
  <c r="R250" i="84"/>
  <c r="S250" i="84" s="1"/>
  <c r="Q250" i="84"/>
  <c r="O250" i="84"/>
  <c r="M250" i="84"/>
  <c r="K250" i="84"/>
  <c r="I250" i="84"/>
  <c r="G250" i="84"/>
  <c r="C250" i="84"/>
  <c r="R249" i="84"/>
  <c r="S249" i="84" s="1"/>
  <c r="Q249" i="84"/>
  <c r="O249" i="84"/>
  <c r="M249" i="84"/>
  <c r="K249" i="84"/>
  <c r="I249" i="84"/>
  <c r="G249" i="84"/>
  <c r="C249" i="84"/>
  <c r="R248" i="84"/>
  <c r="S248" i="84" s="1"/>
  <c r="Q248" i="84"/>
  <c r="O248" i="84"/>
  <c r="M248" i="84"/>
  <c r="K248" i="84"/>
  <c r="I248" i="84"/>
  <c r="G248" i="84"/>
  <c r="C248" i="84"/>
  <c r="R247" i="84"/>
  <c r="S247" i="84" s="1"/>
  <c r="Q247" i="84"/>
  <c r="O247" i="84"/>
  <c r="M247" i="84"/>
  <c r="K247" i="84"/>
  <c r="I247" i="84"/>
  <c r="G247" i="84"/>
  <c r="C247" i="84"/>
  <c r="R246" i="84"/>
  <c r="S246" i="84" s="1"/>
  <c r="Q246" i="84"/>
  <c r="O246" i="84"/>
  <c r="M246" i="84"/>
  <c r="K246" i="84"/>
  <c r="I246" i="84"/>
  <c r="G246" i="84"/>
  <c r="C246" i="84"/>
  <c r="R245" i="84"/>
  <c r="S245" i="84" s="1"/>
  <c r="Q245" i="84"/>
  <c r="O245" i="84"/>
  <c r="M245" i="84"/>
  <c r="K245" i="84"/>
  <c r="I245" i="84"/>
  <c r="G245" i="84"/>
  <c r="C245" i="84"/>
  <c r="R244" i="84"/>
  <c r="S244" i="84" s="1"/>
  <c r="Q244" i="84"/>
  <c r="O244" i="84"/>
  <c r="M244" i="84"/>
  <c r="K244" i="84"/>
  <c r="I244" i="84"/>
  <c r="G244" i="84"/>
  <c r="C244" i="84"/>
  <c r="R243" i="84"/>
  <c r="S243" i="84" s="1"/>
  <c r="Q243" i="84"/>
  <c r="O243" i="84"/>
  <c r="M243" i="84"/>
  <c r="K243" i="84"/>
  <c r="I243" i="84"/>
  <c r="G243" i="84"/>
  <c r="C243" i="84"/>
  <c r="R242" i="84"/>
  <c r="S242" i="84" s="1"/>
  <c r="Q242" i="84"/>
  <c r="O242" i="84"/>
  <c r="M242" i="84"/>
  <c r="K242" i="84"/>
  <c r="I242" i="84"/>
  <c r="G242" i="84"/>
  <c r="C242" i="84"/>
  <c r="R241" i="84"/>
  <c r="S241" i="84" s="1"/>
  <c r="Q241" i="84"/>
  <c r="O241" i="84"/>
  <c r="M241" i="84"/>
  <c r="K241" i="84"/>
  <c r="I241" i="84"/>
  <c r="G241" i="84"/>
  <c r="C241" i="84"/>
  <c r="R240" i="84"/>
  <c r="S240" i="84" s="1"/>
  <c r="Q240" i="84"/>
  <c r="O240" i="84"/>
  <c r="M240" i="84"/>
  <c r="K240" i="84"/>
  <c r="I240" i="84"/>
  <c r="G240" i="84"/>
  <c r="C240" i="84"/>
  <c r="R239" i="84"/>
  <c r="S239" i="84" s="1"/>
  <c r="Q239" i="84"/>
  <c r="O239" i="84"/>
  <c r="M239" i="84"/>
  <c r="K239" i="84"/>
  <c r="I239" i="84"/>
  <c r="G239" i="84"/>
  <c r="C239" i="84"/>
  <c r="R238" i="84"/>
  <c r="S238" i="84" s="1"/>
  <c r="Q238" i="84"/>
  <c r="O238" i="84"/>
  <c r="M238" i="84"/>
  <c r="K238" i="84"/>
  <c r="I238" i="84"/>
  <c r="G238" i="84"/>
  <c r="C238" i="84"/>
  <c r="R237" i="84"/>
  <c r="S237" i="84" s="1"/>
  <c r="Q237" i="84"/>
  <c r="O237" i="84"/>
  <c r="M237" i="84"/>
  <c r="K237" i="84"/>
  <c r="I237" i="84"/>
  <c r="G237" i="84"/>
  <c r="C237" i="84"/>
  <c r="R236" i="84"/>
  <c r="S236" i="84" s="1"/>
  <c r="Q236" i="84"/>
  <c r="O236" i="84"/>
  <c r="M236" i="84"/>
  <c r="K236" i="84"/>
  <c r="I236" i="84"/>
  <c r="G236" i="84"/>
  <c r="C236" i="84"/>
  <c r="R235" i="84"/>
  <c r="S235" i="84" s="1"/>
  <c r="Q235" i="84"/>
  <c r="O235" i="84"/>
  <c r="M235" i="84"/>
  <c r="K235" i="84"/>
  <c r="I235" i="84"/>
  <c r="G235" i="84"/>
  <c r="C235" i="84"/>
  <c r="R234" i="84"/>
  <c r="S234" i="84" s="1"/>
  <c r="Q234" i="84"/>
  <c r="O234" i="84"/>
  <c r="M234" i="84"/>
  <c r="K234" i="84"/>
  <c r="I234" i="84"/>
  <c r="G234" i="84"/>
  <c r="C234" i="84"/>
  <c r="R233" i="84"/>
  <c r="S233" i="84" s="1"/>
  <c r="Q233" i="84"/>
  <c r="O233" i="84"/>
  <c r="M233" i="84"/>
  <c r="K233" i="84"/>
  <c r="I233" i="84"/>
  <c r="G233" i="84"/>
  <c r="C233" i="84"/>
  <c r="R232" i="84"/>
  <c r="S232" i="84" s="1"/>
  <c r="Q232" i="84"/>
  <c r="O232" i="84"/>
  <c r="M232" i="84"/>
  <c r="K232" i="84"/>
  <c r="I232" i="84"/>
  <c r="G232" i="84"/>
  <c r="C232" i="84"/>
  <c r="R231" i="84"/>
  <c r="S231" i="84" s="1"/>
  <c r="Q231" i="84"/>
  <c r="O231" i="84"/>
  <c r="M231" i="84"/>
  <c r="K231" i="84"/>
  <c r="I231" i="84"/>
  <c r="G231" i="84"/>
  <c r="C231" i="84"/>
  <c r="R230" i="84"/>
  <c r="S230" i="84" s="1"/>
  <c r="Q230" i="84"/>
  <c r="O230" i="84"/>
  <c r="M230" i="84"/>
  <c r="K230" i="84"/>
  <c r="I230" i="84"/>
  <c r="G230" i="84"/>
  <c r="C230" i="84"/>
  <c r="R229" i="84"/>
  <c r="S229" i="84" s="1"/>
  <c r="Q229" i="84"/>
  <c r="O229" i="84"/>
  <c r="M229" i="84"/>
  <c r="K229" i="84"/>
  <c r="I229" i="84"/>
  <c r="G229" i="84"/>
  <c r="C229" i="84"/>
  <c r="R228" i="84"/>
  <c r="S228" i="84" s="1"/>
  <c r="Q228" i="84"/>
  <c r="O228" i="84"/>
  <c r="M228" i="84"/>
  <c r="K228" i="84"/>
  <c r="I228" i="84"/>
  <c r="G228" i="84"/>
  <c r="C228" i="84"/>
  <c r="R227" i="84"/>
  <c r="S227" i="84" s="1"/>
  <c r="Q227" i="84"/>
  <c r="O227" i="84"/>
  <c r="M227" i="84"/>
  <c r="K227" i="84"/>
  <c r="I227" i="84"/>
  <c r="G227" i="84"/>
  <c r="C227" i="84"/>
  <c r="R226" i="84"/>
  <c r="S226" i="84" s="1"/>
  <c r="Q226" i="84"/>
  <c r="O226" i="84"/>
  <c r="M226" i="84"/>
  <c r="K226" i="84"/>
  <c r="I226" i="84"/>
  <c r="G226" i="84"/>
  <c r="C226" i="84"/>
  <c r="R225" i="84"/>
  <c r="S225" i="84" s="1"/>
  <c r="Q225" i="84"/>
  <c r="O225" i="84"/>
  <c r="M225" i="84"/>
  <c r="K225" i="84"/>
  <c r="I225" i="84"/>
  <c r="G225" i="84"/>
  <c r="C225" i="84"/>
  <c r="R224" i="84"/>
  <c r="S224" i="84" s="1"/>
  <c r="Q224" i="84"/>
  <c r="O224" i="84"/>
  <c r="M224" i="84"/>
  <c r="K224" i="84"/>
  <c r="I224" i="84"/>
  <c r="G224" i="84"/>
  <c r="C224" i="84"/>
  <c r="R223" i="84"/>
  <c r="S223" i="84" s="1"/>
  <c r="Q223" i="84"/>
  <c r="O223" i="84"/>
  <c r="M223" i="84"/>
  <c r="K223" i="84"/>
  <c r="I223" i="84"/>
  <c r="G223" i="84"/>
  <c r="C223" i="84"/>
  <c r="R222" i="84"/>
  <c r="S222" i="84" s="1"/>
  <c r="Q222" i="84"/>
  <c r="O222" i="84"/>
  <c r="M222" i="84"/>
  <c r="K222" i="84"/>
  <c r="I222" i="84"/>
  <c r="G222" i="84"/>
  <c r="C222" i="84"/>
  <c r="R221" i="84"/>
  <c r="S221" i="84" s="1"/>
  <c r="Q221" i="84"/>
  <c r="O221" i="84"/>
  <c r="M221" i="84"/>
  <c r="K221" i="84"/>
  <c r="I221" i="84"/>
  <c r="G221" i="84"/>
  <c r="C221" i="84"/>
  <c r="R220" i="84"/>
  <c r="S220" i="84" s="1"/>
  <c r="Q220" i="84"/>
  <c r="O220" i="84"/>
  <c r="M220" i="84"/>
  <c r="K220" i="84"/>
  <c r="I220" i="84"/>
  <c r="G220" i="84"/>
  <c r="C220" i="84"/>
  <c r="R219" i="84"/>
  <c r="S219" i="84" s="1"/>
  <c r="Q219" i="84"/>
  <c r="O219" i="84"/>
  <c r="M219" i="84"/>
  <c r="K219" i="84"/>
  <c r="I219" i="84"/>
  <c r="G219" i="84"/>
  <c r="C219" i="84"/>
  <c r="R218" i="84"/>
  <c r="S218" i="84" s="1"/>
  <c r="Q218" i="84"/>
  <c r="O218" i="84"/>
  <c r="M218" i="84"/>
  <c r="K218" i="84"/>
  <c r="I218" i="84"/>
  <c r="G218" i="84"/>
  <c r="C218" i="84"/>
  <c r="R217" i="84"/>
  <c r="S217" i="84" s="1"/>
  <c r="Q217" i="84"/>
  <c r="O217" i="84"/>
  <c r="M217" i="84"/>
  <c r="K217" i="84"/>
  <c r="I217" i="84"/>
  <c r="G217" i="84"/>
  <c r="C217" i="84"/>
  <c r="R216" i="84"/>
  <c r="S216" i="84" s="1"/>
  <c r="Q216" i="84"/>
  <c r="O216" i="84"/>
  <c r="M216" i="84"/>
  <c r="K216" i="84"/>
  <c r="I216" i="84"/>
  <c r="G216" i="84"/>
  <c r="C216" i="84"/>
  <c r="R215" i="84"/>
  <c r="S215" i="84" s="1"/>
  <c r="Q215" i="84"/>
  <c r="O215" i="84"/>
  <c r="M215" i="84"/>
  <c r="K215" i="84"/>
  <c r="I215" i="84"/>
  <c r="G215" i="84"/>
  <c r="C215" i="84"/>
  <c r="R214" i="84"/>
  <c r="S214" i="84" s="1"/>
  <c r="Q214" i="84"/>
  <c r="O214" i="84"/>
  <c r="M214" i="84"/>
  <c r="K214" i="84"/>
  <c r="I214" i="84"/>
  <c r="G214" i="84"/>
  <c r="C214" i="84"/>
  <c r="R213" i="84"/>
  <c r="S213" i="84" s="1"/>
  <c r="Q213" i="84"/>
  <c r="O213" i="84"/>
  <c r="M213" i="84"/>
  <c r="K213" i="84"/>
  <c r="I213" i="84"/>
  <c r="G213" i="84"/>
  <c r="C213" i="84"/>
  <c r="R212" i="84"/>
  <c r="S212" i="84" s="1"/>
  <c r="Q212" i="84"/>
  <c r="O212" i="84"/>
  <c r="M212" i="84"/>
  <c r="K212" i="84"/>
  <c r="I212" i="84"/>
  <c r="G212" i="84"/>
  <c r="C212" i="84"/>
  <c r="R211" i="84"/>
  <c r="S211" i="84" s="1"/>
  <c r="Q211" i="84"/>
  <c r="O211" i="84"/>
  <c r="M211" i="84"/>
  <c r="K211" i="84"/>
  <c r="I211" i="84"/>
  <c r="G211" i="84"/>
  <c r="C211" i="84"/>
  <c r="R210" i="84"/>
  <c r="S210" i="84" s="1"/>
  <c r="Q210" i="84"/>
  <c r="O210" i="84"/>
  <c r="M210" i="84"/>
  <c r="K210" i="84"/>
  <c r="I210" i="84"/>
  <c r="G210" i="84"/>
  <c r="C210" i="84"/>
  <c r="R209" i="84"/>
  <c r="S209" i="84" s="1"/>
  <c r="Q209" i="84"/>
  <c r="O209" i="84"/>
  <c r="M209" i="84"/>
  <c r="K209" i="84"/>
  <c r="I209" i="84"/>
  <c r="G209" i="84"/>
  <c r="C209" i="84"/>
  <c r="R208" i="84"/>
  <c r="S208" i="84" s="1"/>
  <c r="Q208" i="84"/>
  <c r="O208" i="84"/>
  <c r="M208" i="84"/>
  <c r="K208" i="84"/>
  <c r="I208" i="84"/>
  <c r="G208" i="84"/>
  <c r="C208" i="84"/>
  <c r="R207" i="84"/>
  <c r="S207" i="84" s="1"/>
  <c r="Q207" i="84"/>
  <c r="O207" i="84"/>
  <c r="M207" i="84"/>
  <c r="K207" i="84"/>
  <c r="I207" i="84"/>
  <c r="G207" i="84"/>
  <c r="C207" i="84"/>
  <c r="R206" i="84"/>
  <c r="S206" i="84" s="1"/>
  <c r="Q206" i="84"/>
  <c r="O206" i="84"/>
  <c r="M206" i="84"/>
  <c r="K206" i="84"/>
  <c r="I206" i="84"/>
  <c r="G206" i="84"/>
  <c r="C206" i="84"/>
  <c r="R205" i="84"/>
  <c r="S205" i="84" s="1"/>
  <c r="Q205" i="84"/>
  <c r="O205" i="84"/>
  <c r="M205" i="84"/>
  <c r="K205" i="84"/>
  <c r="I205" i="84"/>
  <c r="G205" i="84"/>
  <c r="C205" i="84"/>
  <c r="R204" i="84"/>
  <c r="S204" i="84" s="1"/>
  <c r="Q204" i="84"/>
  <c r="O204" i="84"/>
  <c r="M204" i="84"/>
  <c r="K204" i="84"/>
  <c r="I204" i="84"/>
  <c r="G204" i="84"/>
  <c r="C204" i="84"/>
  <c r="R203" i="84"/>
  <c r="S203" i="84" s="1"/>
  <c r="Q203" i="84"/>
  <c r="O203" i="84"/>
  <c r="M203" i="84"/>
  <c r="K203" i="84"/>
  <c r="I203" i="84"/>
  <c r="G203" i="84"/>
  <c r="C203" i="84"/>
  <c r="R202" i="84"/>
  <c r="S202" i="84" s="1"/>
  <c r="Q202" i="84"/>
  <c r="O202" i="84"/>
  <c r="M202" i="84"/>
  <c r="K202" i="84"/>
  <c r="I202" i="84"/>
  <c r="G202" i="84"/>
  <c r="C202" i="84"/>
  <c r="R201" i="84"/>
  <c r="S201" i="84" s="1"/>
  <c r="Q201" i="84"/>
  <c r="O201" i="84"/>
  <c r="M201" i="84"/>
  <c r="K201" i="84"/>
  <c r="I201" i="84"/>
  <c r="G201" i="84"/>
  <c r="C201" i="84"/>
  <c r="R200" i="84"/>
  <c r="S200" i="84" s="1"/>
  <c r="Q200" i="84"/>
  <c r="O200" i="84"/>
  <c r="M200" i="84"/>
  <c r="K200" i="84"/>
  <c r="I200" i="84"/>
  <c r="G200" i="84"/>
  <c r="C200" i="84"/>
  <c r="R199" i="84"/>
  <c r="S199" i="84" s="1"/>
  <c r="Q199" i="84"/>
  <c r="O199" i="84"/>
  <c r="M199" i="84"/>
  <c r="K199" i="84"/>
  <c r="I199" i="84"/>
  <c r="G199" i="84"/>
  <c r="C199" i="84"/>
  <c r="R198" i="84"/>
  <c r="S198" i="84" s="1"/>
  <c r="Q198" i="84"/>
  <c r="O198" i="84"/>
  <c r="M198" i="84"/>
  <c r="K198" i="84"/>
  <c r="I198" i="84"/>
  <c r="G198" i="84"/>
  <c r="C198" i="84"/>
  <c r="R197" i="84"/>
  <c r="S197" i="84" s="1"/>
  <c r="Q197" i="84"/>
  <c r="O197" i="84"/>
  <c r="M197" i="84"/>
  <c r="K197" i="84"/>
  <c r="I197" i="84"/>
  <c r="G197" i="84"/>
  <c r="C197" i="84"/>
  <c r="R196" i="84"/>
  <c r="S196" i="84" s="1"/>
  <c r="Q196" i="84"/>
  <c r="O196" i="84"/>
  <c r="M196" i="84"/>
  <c r="K196" i="84"/>
  <c r="I196" i="84"/>
  <c r="G196" i="84"/>
  <c r="C196" i="84"/>
  <c r="R195" i="84"/>
  <c r="S195" i="84" s="1"/>
  <c r="Q195" i="84"/>
  <c r="O195" i="84"/>
  <c r="M195" i="84"/>
  <c r="K195" i="84"/>
  <c r="I195" i="84"/>
  <c r="G195" i="84"/>
  <c r="C195" i="84"/>
  <c r="R194" i="84"/>
  <c r="S194" i="84" s="1"/>
  <c r="Q194" i="84"/>
  <c r="O194" i="84"/>
  <c r="M194" i="84"/>
  <c r="K194" i="84"/>
  <c r="I194" i="84"/>
  <c r="G194" i="84"/>
  <c r="C194" i="84"/>
  <c r="R193" i="84"/>
  <c r="S193" i="84" s="1"/>
  <c r="Q193" i="84"/>
  <c r="O193" i="84"/>
  <c r="M193" i="84"/>
  <c r="K193" i="84"/>
  <c r="I193" i="84"/>
  <c r="G193" i="84"/>
  <c r="C193" i="84"/>
  <c r="R192" i="84"/>
  <c r="S192" i="84" s="1"/>
  <c r="Q192" i="84"/>
  <c r="O192" i="84"/>
  <c r="M192" i="84"/>
  <c r="K192" i="84"/>
  <c r="I192" i="84"/>
  <c r="G192" i="84"/>
  <c r="C192" i="84"/>
  <c r="R191" i="84"/>
  <c r="S191" i="84" s="1"/>
  <c r="Q191" i="84"/>
  <c r="O191" i="84"/>
  <c r="M191" i="84"/>
  <c r="K191" i="84"/>
  <c r="I191" i="84"/>
  <c r="G191" i="84"/>
  <c r="C191" i="84"/>
  <c r="R190" i="84"/>
  <c r="S190" i="84" s="1"/>
  <c r="Q190" i="84"/>
  <c r="O190" i="84"/>
  <c r="M190" i="84"/>
  <c r="K190" i="84"/>
  <c r="I190" i="84"/>
  <c r="G190" i="84"/>
  <c r="C190" i="84"/>
  <c r="R189" i="84"/>
  <c r="S189" i="84" s="1"/>
  <c r="Q189" i="84"/>
  <c r="O189" i="84"/>
  <c r="M189" i="84"/>
  <c r="K189" i="84"/>
  <c r="I189" i="84"/>
  <c r="G189" i="84"/>
  <c r="C189" i="84"/>
  <c r="R188" i="84"/>
  <c r="S188" i="84" s="1"/>
  <c r="Q188" i="84"/>
  <c r="O188" i="84"/>
  <c r="M188" i="84"/>
  <c r="K188" i="84"/>
  <c r="I188" i="84"/>
  <c r="G188" i="84"/>
  <c r="C188" i="84"/>
  <c r="R187" i="84"/>
  <c r="S187" i="84" s="1"/>
  <c r="Q187" i="84"/>
  <c r="O187" i="84"/>
  <c r="M187" i="84"/>
  <c r="K187" i="84"/>
  <c r="I187" i="84"/>
  <c r="G187" i="84"/>
  <c r="C187" i="84"/>
  <c r="R186" i="84"/>
  <c r="S186" i="84" s="1"/>
  <c r="Q186" i="84"/>
  <c r="O186" i="84"/>
  <c r="M186" i="84"/>
  <c r="K186" i="84"/>
  <c r="I186" i="84"/>
  <c r="G186" i="84"/>
  <c r="C186" i="84"/>
  <c r="R185" i="84"/>
  <c r="S185" i="84" s="1"/>
  <c r="Q185" i="84"/>
  <c r="O185" i="84"/>
  <c r="M185" i="84"/>
  <c r="K185" i="84"/>
  <c r="I185" i="84"/>
  <c r="G185" i="84"/>
  <c r="E185" i="84"/>
  <c r="C185" i="84"/>
  <c r="R184" i="84"/>
  <c r="S184" i="84" s="1"/>
  <c r="Q184" i="84"/>
  <c r="O184" i="84"/>
  <c r="M184" i="84"/>
  <c r="K184" i="84"/>
  <c r="I184" i="84"/>
  <c r="G184" i="84"/>
  <c r="C184" i="84"/>
  <c r="R183" i="84"/>
  <c r="S183" i="84" s="1"/>
  <c r="Q183" i="84"/>
  <c r="O183" i="84"/>
  <c r="M183" i="84"/>
  <c r="K183" i="84"/>
  <c r="I183" i="84"/>
  <c r="G183" i="84"/>
  <c r="C183" i="84"/>
  <c r="R182" i="84"/>
  <c r="S182" i="84" s="1"/>
  <c r="Q182" i="84"/>
  <c r="O182" i="84"/>
  <c r="M182" i="84"/>
  <c r="K182" i="84"/>
  <c r="I182" i="84"/>
  <c r="G182" i="84"/>
  <c r="C182" i="84"/>
  <c r="R181" i="84"/>
  <c r="S181" i="84" s="1"/>
  <c r="Q181" i="84"/>
  <c r="O181" i="84"/>
  <c r="M181" i="84"/>
  <c r="K181" i="84"/>
  <c r="I181" i="84"/>
  <c r="G181" i="84"/>
  <c r="C181" i="84"/>
  <c r="R180" i="84"/>
  <c r="S180" i="84" s="1"/>
  <c r="Q180" i="84"/>
  <c r="O180" i="84"/>
  <c r="M180" i="84"/>
  <c r="K180" i="84"/>
  <c r="I180" i="84"/>
  <c r="G180" i="84"/>
  <c r="C180" i="84"/>
  <c r="R179" i="84"/>
  <c r="S179" i="84" s="1"/>
  <c r="Q179" i="84"/>
  <c r="O179" i="84"/>
  <c r="M179" i="84"/>
  <c r="K179" i="84"/>
  <c r="I179" i="84"/>
  <c r="G179" i="84"/>
  <c r="C179" i="84"/>
  <c r="R178" i="84"/>
  <c r="S178" i="84" s="1"/>
  <c r="Q178" i="84"/>
  <c r="O178" i="84"/>
  <c r="M178" i="84"/>
  <c r="K178" i="84"/>
  <c r="I178" i="84"/>
  <c r="G178" i="84"/>
  <c r="C178" i="84"/>
  <c r="R177" i="84"/>
  <c r="S177" i="84" s="1"/>
  <c r="Q177" i="84"/>
  <c r="O177" i="84"/>
  <c r="M177" i="84"/>
  <c r="K177" i="84"/>
  <c r="I177" i="84"/>
  <c r="G177" i="84"/>
  <c r="C177" i="84"/>
  <c r="R176" i="84"/>
  <c r="S176" i="84" s="1"/>
  <c r="Q176" i="84"/>
  <c r="O176" i="84"/>
  <c r="M176" i="84"/>
  <c r="K176" i="84"/>
  <c r="I176" i="84"/>
  <c r="G176" i="84"/>
  <c r="C176" i="84"/>
  <c r="R175" i="84"/>
  <c r="S175" i="84" s="1"/>
  <c r="Q175" i="84"/>
  <c r="O175" i="84"/>
  <c r="M175" i="84"/>
  <c r="K175" i="84"/>
  <c r="I175" i="84"/>
  <c r="G175" i="84"/>
  <c r="C175" i="84"/>
  <c r="R174" i="84"/>
  <c r="S174" i="84" s="1"/>
  <c r="Q174" i="84"/>
  <c r="O174" i="84"/>
  <c r="M174" i="84"/>
  <c r="K174" i="84"/>
  <c r="I174" i="84"/>
  <c r="G174" i="84"/>
  <c r="C174" i="84"/>
  <c r="R173" i="84"/>
  <c r="S173" i="84" s="1"/>
  <c r="Q173" i="84"/>
  <c r="O173" i="84"/>
  <c r="M173" i="84"/>
  <c r="K173" i="84"/>
  <c r="I173" i="84"/>
  <c r="G173" i="84"/>
  <c r="C173" i="84"/>
  <c r="R172" i="84"/>
  <c r="S172" i="84" s="1"/>
  <c r="Q172" i="84"/>
  <c r="O172" i="84"/>
  <c r="M172" i="84"/>
  <c r="K172" i="84"/>
  <c r="I172" i="84"/>
  <c r="G172" i="84"/>
  <c r="C172" i="84"/>
  <c r="R171" i="84"/>
  <c r="S171" i="84" s="1"/>
  <c r="Q171" i="84"/>
  <c r="O171" i="84"/>
  <c r="M171" i="84"/>
  <c r="K171" i="84"/>
  <c r="I171" i="84"/>
  <c r="G171" i="84"/>
  <c r="C171" i="84"/>
  <c r="R170" i="84"/>
  <c r="S170" i="84" s="1"/>
  <c r="Q170" i="84"/>
  <c r="O170" i="84"/>
  <c r="M170" i="84"/>
  <c r="K170" i="84"/>
  <c r="I170" i="84"/>
  <c r="G170" i="84"/>
  <c r="C170" i="84"/>
  <c r="R169" i="84"/>
  <c r="S169" i="84" s="1"/>
  <c r="Q169" i="84"/>
  <c r="O169" i="84"/>
  <c r="M169" i="84"/>
  <c r="K169" i="84"/>
  <c r="I169" i="84"/>
  <c r="G169" i="84"/>
  <c r="E169" i="84"/>
  <c r="C169" i="84"/>
  <c r="R168" i="84"/>
  <c r="S168" i="84" s="1"/>
  <c r="Q168" i="84"/>
  <c r="O168" i="84"/>
  <c r="M168" i="84"/>
  <c r="K168" i="84"/>
  <c r="I168" i="84"/>
  <c r="G168" i="84"/>
  <c r="C168" i="84"/>
  <c r="R167" i="84"/>
  <c r="S167" i="84" s="1"/>
  <c r="Q167" i="84"/>
  <c r="O167" i="84"/>
  <c r="M167" i="84"/>
  <c r="K167" i="84"/>
  <c r="I167" i="84"/>
  <c r="G167" i="84"/>
  <c r="C167" i="84"/>
  <c r="R166" i="84"/>
  <c r="S166" i="84" s="1"/>
  <c r="Q166" i="84"/>
  <c r="O166" i="84"/>
  <c r="M166" i="84"/>
  <c r="K166" i="84"/>
  <c r="I166" i="84"/>
  <c r="G166" i="84"/>
  <c r="C166" i="84"/>
  <c r="R165" i="84"/>
  <c r="S165" i="84" s="1"/>
  <c r="Q165" i="84"/>
  <c r="O165" i="84"/>
  <c r="M165" i="84"/>
  <c r="K165" i="84"/>
  <c r="I165" i="84"/>
  <c r="G165" i="84"/>
  <c r="C165" i="84"/>
  <c r="R164" i="84"/>
  <c r="S164" i="84" s="1"/>
  <c r="Q164" i="84"/>
  <c r="O164" i="84"/>
  <c r="M164" i="84"/>
  <c r="K164" i="84"/>
  <c r="I164" i="84"/>
  <c r="G164" i="84"/>
  <c r="C164" i="84"/>
  <c r="R163" i="84"/>
  <c r="S163" i="84" s="1"/>
  <c r="Q163" i="84"/>
  <c r="O163" i="84"/>
  <c r="M163" i="84"/>
  <c r="K163" i="84"/>
  <c r="I163" i="84"/>
  <c r="G163" i="84"/>
  <c r="C163" i="84"/>
  <c r="R162" i="84"/>
  <c r="S162" i="84" s="1"/>
  <c r="Q162" i="84"/>
  <c r="O162" i="84"/>
  <c r="M162" i="84"/>
  <c r="K162" i="84"/>
  <c r="I162" i="84"/>
  <c r="G162" i="84"/>
  <c r="C162" i="84"/>
  <c r="R161" i="84"/>
  <c r="S161" i="84" s="1"/>
  <c r="Q161" i="84"/>
  <c r="O161" i="84"/>
  <c r="M161" i="84"/>
  <c r="K161" i="84"/>
  <c r="I161" i="84"/>
  <c r="G161" i="84"/>
  <c r="C161" i="84"/>
  <c r="R160" i="84"/>
  <c r="S160" i="84" s="1"/>
  <c r="Q160" i="84"/>
  <c r="O160" i="84"/>
  <c r="M160" i="84"/>
  <c r="K160" i="84"/>
  <c r="I160" i="84"/>
  <c r="G160" i="84"/>
  <c r="C160" i="84"/>
  <c r="R159" i="84"/>
  <c r="S159" i="84" s="1"/>
  <c r="Q159" i="84"/>
  <c r="O159" i="84"/>
  <c r="M159" i="84"/>
  <c r="K159" i="84"/>
  <c r="I159" i="84"/>
  <c r="G159" i="84"/>
  <c r="C159" i="84"/>
  <c r="R158" i="84"/>
  <c r="S158" i="84" s="1"/>
  <c r="Q158" i="84"/>
  <c r="O158" i="84"/>
  <c r="M158" i="84"/>
  <c r="K158" i="84"/>
  <c r="I158" i="84"/>
  <c r="G158" i="84"/>
  <c r="C158" i="84"/>
  <c r="R157" i="84"/>
  <c r="S157" i="84" s="1"/>
  <c r="Q157" i="84"/>
  <c r="O157" i="84"/>
  <c r="M157" i="84"/>
  <c r="K157" i="84"/>
  <c r="I157" i="84"/>
  <c r="G157" i="84"/>
  <c r="C157" i="84"/>
  <c r="R156" i="84"/>
  <c r="S156" i="84" s="1"/>
  <c r="Q156" i="84"/>
  <c r="O156" i="84"/>
  <c r="M156" i="84"/>
  <c r="K156" i="84"/>
  <c r="I156" i="84"/>
  <c r="G156" i="84"/>
  <c r="C156" i="84"/>
  <c r="R155" i="84"/>
  <c r="S155" i="84" s="1"/>
  <c r="Q155" i="84"/>
  <c r="O155" i="84"/>
  <c r="M155" i="84"/>
  <c r="K155" i="84"/>
  <c r="I155" i="84"/>
  <c r="G155" i="84"/>
  <c r="C155" i="84"/>
  <c r="R154" i="84"/>
  <c r="S154" i="84" s="1"/>
  <c r="Q154" i="84"/>
  <c r="O154" i="84"/>
  <c r="M154" i="84"/>
  <c r="K154" i="84"/>
  <c r="I154" i="84"/>
  <c r="G154" i="84"/>
  <c r="C154" i="84"/>
  <c r="R153" i="84"/>
  <c r="S153" i="84" s="1"/>
  <c r="Q153" i="84"/>
  <c r="O153" i="84"/>
  <c r="M153" i="84"/>
  <c r="K153" i="84"/>
  <c r="I153" i="84"/>
  <c r="G153" i="84"/>
  <c r="C153" i="84"/>
  <c r="R152" i="84"/>
  <c r="S152" i="84" s="1"/>
  <c r="Q152" i="84"/>
  <c r="O152" i="84"/>
  <c r="M152" i="84"/>
  <c r="K152" i="84"/>
  <c r="I152" i="84"/>
  <c r="G152" i="84"/>
  <c r="C152" i="84"/>
  <c r="R151" i="84"/>
  <c r="S151" i="84" s="1"/>
  <c r="Q151" i="84"/>
  <c r="O151" i="84"/>
  <c r="M151" i="84"/>
  <c r="K151" i="84"/>
  <c r="I151" i="84"/>
  <c r="G151" i="84"/>
  <c r="C151" i="84"/>
  <c r="R150" i="84"/>
  <c r="S150" i="84" s="1"/>
  <c r="Q150" i="84"/>
  <c r="O150" i="84"/>
  <c r="M150" i="84"/>
  <c r="K150" i="84"/>
  <c r="I150" i="84"/>
  <c r="G150" i="84"/>
  <c r="C150" i="84"/>
  <c r="R149" i="84"/>
  <c r="S149" i="84" s="1"/>
  <c r="Q149" i="84"/>
  <c r="O149" i="84"/>
  <c r="M149" i="84"/>
  <c r="K149" i="84"/>
  <c r="I149" i="84"/>
  <c r="G149" i="84"/>
  <c r="C149" i="84"/>
  <c r="R148" i="84"/>
  <c r="S148" i="84" s="1"/>
  <c r="Q148" i="84"/>
  <c r="O148" i="84"/>
  <c r="M148" i="84"/>
  <c r="K148" i="84"/>
  <c r="I148" i="84"/>
  <c r="G148" i="84"/>
  <c r="C148" i="84"/>
  <c r="R147" i="84"/>
  <c r="S147" i="84" s="1"/>
  <c r="Q147" i="84"/>
  <c r="O147" i="84"/>
  <c r="M147" i="84"/>
  <c r="K147" i="84"/>
  <c r="I147" i="84"/>
  <c r="G147" i="84"/>
  <c r="C147" i="84"/>
  <c r="R146" i="84"/>
  <c r="S146" i="84" s="1"/>
  <c r="Q146" i="84"/>
  <c r="O146" i="84"/>
  <c r="M146" i="84"/>
  <c r="K146" i="84"/>
  <c r="I146" i="84"/>
  <c r="G146" i="84"/>
  <c r="C146" i="84"/>
  <c r="R145" i="84"/>
  <c r="S145" i="84" s="1"/>
  <c r="Q145" i="84"/>
  <c r="O145" i="84"/>
  <c r="M145" i="84"/>
  <c r="K145" i="84"/>
  <c r="I145" i="84"/>
  <c r="G145" i="84"/>
  <c r="C145" i="84"/>
  <c r="R144" i="84"/>
  <c r="S144" i="84" s="1"/>
  <c r="Q144" i="84"/>
  <c r="O144" i="84"/>
  <c r="M144" i="84"/>
  <c r="K144" i="84"/>
  <c r="I144" i="84"/>
  <c r="G144" i="84"/>
  <c r="C144" i="84"/>
  <c r="R143" i="84"/>
  <c r="S143" i="84" s="1"/>
  <c r="Q143" i="84"/>
  <c r="O143" i="84"/>
  <c r="M143" i="84"/>
  <c r="K143" i="84"/>
  <c r="I143" i="84"/>
  <c r="G143" i="84"/>
  <c r="C143" i="84"/>
  <c r="R142" i="84"/>
  <c r="S142" i="84" s="1"/>
  <c r="Q142" i="84"/>
  <c r="O142" i="84"/>
  <c r="M142" i="84"/>
  <c r="K142" i="84"/>
  <c r="I142" i="84"/>
  <c r="G142" i="84"/>
  <c r="C142" i="84"/>
  <c r="R141" i="84"/>
  <c r="S141" i="84" s="1"/>
  <c r="Q141" i="84"/>
  <c r="O141" i="84"/>
  <c r="M141" i="84"/>
  <c r="K141" i="84"/>
  <c r="I141" i="84"/>
  <c r="G141" i="84"/>
  <c r="C141" i="84"/>
  <c r="R140" i="84"/>
  <c r="S140" i="84" s="1"/>
  <c r="Q140" i="84"/>
  <c r="O140" i="84"/>
  <c r="M140" i="84"/>
  <c r="K140" i="84"/>
  <c r="I140" i="84"/>
  <c r="G140" i="84"/>
  <c r="C140" i="84"/>
  <c r="R139" i="84"/>
  <c r="S139" i="84" s="1"/>
  <c r="Q139" i="84"/>
  <c r="O139" i="84"/>
  <c r="M139" i="84"/>
  <c r="K139" i="84"/>
  <c r="I139" i="84"/>
  <c r="G139" i="84"/>
  <c r="C139" i="84"/>
  <c r="R138" i="84"/>
  <c r="S138" i="84" s="1"/>
  <c r="Q138" i="84"/>
  <c r="O138" i="84"/>
  <c r="M138" i="84"/>
  <c r="K138" i="84"/>
  <c r="I138" i="84"/>
  <c r="G138" i="84"/>
  <c r="C138" i="84"/>
  <c r="R137" i="84"/>
  <c r="S137" i="84" s="1"/>
  <c r="Q137" i="84"/>
  <c r="O137" i="84"/>
  <c r="M137" i="84"/>
  <c r="K137" i="84"/>
  <c r="I137" i="84"/>
  <c r="G137" i="84"/>
  <c r="C137" i="84"/>
  <c r="R136" i="84"/>
  <c r="S136" i="84" s="1"/>
  <c r="Q136" i="84"/>
  <c r="O136" i="84"/>
  <c r="M136" i="84"/>
  <c r="K136" i="84"/>
  <c r="I136" i="84"/>
  <c r="G136" i="84"/>
  <c r="C136" i="84"/>
  <c r="R135" i="84"/>
  <c r="S135" i="84" s="1"/>
  <c r="Q135" i="84"/>
  <c r="O135" i="84"/>
  <c r="M135" i="84"/>
  <c r="K135" i="84"/>
  <c r="I135" i="84"/>
  <c r="G135" i="84"/>
  <c r="C135" i="84"/>
  <c r="R134" i="84"/>
  <c r="S134" i="84" s="1"/>
  <c r="Q134" i="84"/>
  <c r="O134" i="84"/>
  <c r="M134" i="84"/>
  <c r="K134" i="84"/>
  <c r="I134" i="84"/>
  <c r="G134" i="84"/>
  <c r="C134" i="84"/>
  <c r="R133" i="84"/>
  <c r="S133" i="84" s="1"/>
  <c r="Q133" i="84"/>
  <c r="O133" i="84"/>
  <c r="M133" i="84"/>
  <c r="K133" i="84"/>
  <c r="I133" i="84"/>
  <c r="G133" i="84"/>
  <c r="C133" i="84"/>
  <c r="R132" i="84"/>
  <c r="S132" i="84" s="1"/>
  <c r="Q132" i="84"/>
  <c r="O132" i="84"/>
  <c r="M132" i="84"/>
  <c r="K132" i="84"/>
  <c r="I132" i="84"/>
  <c r="G132" i="84"/>
  <c r="C132" i="84"/>
  <c r="R131" i="84"/>
  <c r="S131" i="84" s="1"/>
  <c r="Q131" i="84"/>
  <c r="O131" i="84"/>
  <c r="M131" i="84"/>
  <c r="K131" i="84"/>
  <c r="I131" i="84"/>
  <c r="G131" i="84"/>
  <c r="C131" i="84"/>
  <c r="R130" i="84"/>
  <c r="S130" i="84" s="1"/>
  <c r="Q130" i="84"/>
  <c r="O130" i="84"/>
  <c r="M130" i="84"/>
  <c r="K130" i="84"/>
  <c r="I130" i="84"/>
  <c r="G130" i="84"/>
  <c r="C130" i="84"/>
  <c r="R129" i="84"/>
  <c r="S129" i="84" s="1"/>
  <c r="Q129" i="84"/>
  <c r="O129" i="84"/>
  <c r="M129" i="84"/>
  <c r="K129" i="84"/>
  <c r="I129" i="84"/>
  <c r="G129" i="84"/>
  <c r="C129" i="84"/>
  <c r="R128" i="84"/>
  <c r="S128" i="84" s="1"/>
  <c r="Q128" i="84"/>
  <c r="O128" i="84"/>
  <c r="M128" i="84"/>
  <c r="K128" i="84"/>
  <c r="I128" i="84"/>
  <c r="G128" i="84"/>
  <c r="C128" i="84"/>
  <c r="R127" i="84"/>
  <c r="S127" i="84" s="1"/>
  <c r="Q127" i="84"/>
  <c r="O127" i="84"/>
  <c r="M127" i="84"/>
  <c r="K127" i="84"/>
  <c r="I127" i="84"/>
  <c r="G127" i="84"/>
  <c r="C127" i="84"/>
  <c r="R126" i="84"/>
  <c r="S126" i="84" s="1"/>
  <c r="Q126" i="84"/>
  <c r="O126" i="84"/>
  <c r="M126" i="84"/>
  <c r="K126" i="84"/>
  <c r="I126" i="84"/>
  <c r="G126" i="84"/>
  <c r="C126" i="84"/>
  <c r="R125" i="84"/>
  <c r="S125" i="84" s="1"/>
  <c r="Q125" i="84"/>
  <c r="O125" i="84"/>
  <c r="M125" i="84"/>
  <c r="K125" i="84"/>
  <c r="I125" i="84"/>
  <c r="G125" i="84"/>
  <c r="C125" i="84"/>
  <c r="R124" i="84"/>
  <c r="S124" i="84" s="1"/>
  <c r="Q124" i="84"/>
  <c r="O124" i="84"/>
  <c r="M124" i="84"/>
  <c r="K124" i="84"/>
  <c r="I124" i="84"/>
  <c r="G124" i="84"/>
  <c r="C124" i="84"/>
  <c r="R123" i="84"/>
  <c r="S123" i="84" s="1"/>
  <c r="Q123" i="84"/>
  <c r="O123" i="84"/>
  <c r="M123" i="84"/>
  <c r="K123" i="84"/>
  <c r="I123" i="84"/>
  <c r="G123" i="84"/>
  <c r="C123" i="84"/>
  <c r="R122" i="84"/>
  <c r="S122" i="84" s="1"/>
  <c r="Q122" i="84"/>
  <c r="O122" i="84"/>
  <c r="M122" i="84"/>
  <c r="K122" i="84"/>
  <c r="I122" i="84"/>
  <c r="G122" i="84"/>
  <c r="C122" i="84"/>
  <c r="R121" i="84"/>
  <c r="S121" i="84" s="1"/>
  <c r="Q121" i="84"/>
  <c r="O121" i="84"/>
  <c r="M121" i="84"/>
  <c r="K121" i="84"/>
  <c r="I121" i="84"/>
  <c r="G121" i="84"/>
  <c r="E121" i="84"/>
  <c r="C121" i="84"/>
  <c r="R120" i="84"/>
  <c r="S120" i="84" s="1"/>
  <c r="Q120" i="84"/>
  <c r="O120" i="84"/>
  <c r="M120" i="84"/>
  <c r="K120" i="84"/>
  <c r="I120" i="84"/>
  <c r="G120" i="84"/>
  <c r="C120" i="84"/>
  <c r="R119" i="84"/>
  <c r="S119" i="84" s="1"/>
  <c r="Q119" i="84"/>
  <c r="O119" i="84"/>
  <c r="M119" i="84"/>
  <c r="K119" i="84"/>
  <c r="I119" i="84"/>
  <c r="G119" i="84"/>
  <c r="C119" i="84"/>
  <c r="R118" i="84"/>
  <c r="S118" i="84" s="1"/>
  <c r="Q118" i="84"/>
  <c r="O118" i="84"/>
  <c r="M118" i="84"/>
  <c r="K118" i="84"/>
  <c r="I118" i="84"/>
  <c r="G118" i="84"/>
  <c r="C118" i="84"/>
  <c r="R117" i="84"/>
  <c r="S117" i="84" s="1"/>
  <c r="Q117" i="84"/>
  <c r="O117" i="84"/>
  <c r="M117" i="84"/>
  <c r="K117" i="84"/>
  <c r="I117" i="84"/>
  <c r="G117" i="84"/>
  <c r="C117" i="84"/>
  <c r="R116" i="84"/>
  <c r="S116" i="84" s="1"/>
  <c r="Q116" i="84"/>
  <c r="O116" i="84"/>
  <c r="M116" i="84"/>
  <c r="K116" i="84"/>
  <c r="I116" i="84"/>
  <c r="G116" i="84"/>
  <c r="C116" i="84"/>
  <c r="R115" i="84"/>
  <c r="S115" i="84" s="1"/>
  <c r="Q115" i="84"/>
  <c r="O115" i="84"/>
  <c r="M115" i="84"/>
  <c r="K115" i="84"/>
  <c r="I115" i="84"/>
  <c r="G115" i="84"/>
  <c r="C115" i="84"/>
  <c r="R114" i="84"/>
  <c r="S114" i="84" s="1"/>
  <c r="Q114" i="84"/>
  <c r="O114" i="84"/>
  <c r="M114" i="84"/>
  <c r="K114" i="84"/>
  <c r="I114" i="84"/>
  <c r="G114" i="84"/>
  <c r="C114" i="84"/>
  <c r="R113" i="84"/>
  <c r="S113" i="84" s="1"/>
  <c r="Q113" i="84"/>
  <c r="O113" i="84"/>
  <c r="M113" i="84"/>
  <c r="K113" i="84"/>
  <c r="I113" i="84"/>
  <c r="G113" i="84"/>
  <c r="C113" i="84"/>
  <c r="R112" i="84"/>
  <c r="S112" i="84" s="1"/>
  <c r="Q112" i="84"/>
  <c r="O112" i="84"/>
  <c r="M112" i="84"/>
  <c r="K112" i="84"/>
  <c r="I112" i="84"/>
  <c r="G112" i="84"/>
  <c r="C112" i="84"/>
  <c r="R111" i="84"/>
  <c r="S111" i="84" s="1"/>
  <c r="Q111" i="84"/>
  <c r="O111" i="84"/>
  <c r="M111" i="84"/>
  <c r="K111" i="84"/>
  <c r="I111" i="84"/>
  <c r="G111" i="84"/>
  <c r="C111" i="84"/>
  <c r="R110" i="84"/>
  <c r="S110" i="84" s="1"/>
  <c r="Q110" i="84"/>
  <c r="O110" i="84"/>
  <c r="M110" i="84"/>
  <c r="K110" i="84"/>
  <c r="I110" i="84"/>
  <c r="G110" i="84"/>
  <c r="C110" i="84"/>
  <c r="R109" i="84"/>
  <c r="S109" i="84" s="1"/>
  <c r="Q109" i="84"/>
  <c r="O109" i="84"/>
  <c r="M109" i="84"/>
  <c r="K109" i="84"/>
  <c r="I109" i="84"/>
  <c r="G109" i="84"/>
  <c r="C109" i="84"/>
  <c r="R108" i="84"/>
  <c r="S108" i="84" s="1"/>
  <c r="Q108" i="84"/>
  <c r="O108" i="84"/>
  <c r="M108" i="84"/>
  <c r="K108" i="84"/>
  <c r="I108" i="84"/>
  <c r="G108" i="84"/>
  <c r="C108" i="84"/>
  <c r="R107" i="84"/>
  <c r="S107" i="84" s="1"/>
  <c r="Q107" i="84"/>
  <c r="O107" i="84"/>
  <c r="M107" i="84"/>
  <c r="K107" i="84"/>
  <c r="I107" i="84"/>
  <c r="G107" i="84"/>
  <c r="C107" i="84"/>
  <c r="R106" i="84"/>
  <c r="S106" i="84" s="1"/>
  <c r="Q106" i="84"/>
  <c r="O106" i="84"/>
  <c r="M106" i="84"/>
  <c r="K106" i="84"/>
  <c r="I106" i="84"/>
  <c r="G106" i="84"/>
  <c r="C106" i="84"/>
  <c r="R105" i="84"/>
  <c r="S105" i="84" s="1"/>
  <c r="Q105" i="84"/>
  <c r="O105" i="84"/>
  <c r="M105" i="84"/>
  <c r="K105" i="84"/>
  <c r="I105" i="84"/>
  <c r="G105" i="84"/>
  <c r="E105" i="84"/>
  <c r="C105" i="84"/>
  <c r="R104" i="84"/>
  <c r="S104" i="84" s="1"/>
  <c r="Q104" i="84"/>
  <c r="O104" i="84"/>
  <c r="M104" i="84"/>
  <c r="K104" i="84"/>
  <c r="I104" i="84"/>
  <c r="G104" i="84"/>
  <c r="C104" i="84"/>
  <c r="R103" i="84"/>
  <c r="S103" i="84" s="1"/>
  <c r="Q103" i="84"/>
  <c r="O103" i="84"/>
  <c r="M103" i="84"/>
  <c r="K103" i="84"/>
  <c r="I103" i="84"/>
  <c r="G103" i="84"/>
  <c r="C103" i="84"/>
  <c r="R102" i="84"/>
  <c r="S102" i="84" s="1"/>
  <c r="Q102" i="84"/>
  <c r="O102" i="84"/>
  <c r="M102" i="84"/>
  <c r="K102" i="84"/>
  <c r="I102" i="84"/>
  <c r="G102" i="84"/>
  <c r="C102" i="84"/>
  <c r="R101" i="84"/>
  <c r="S101" i="84" s="1"/>
  <c r="Q101" i="84"/>
  <c r="O101" i="84"/>
  <c r="M101" i="84"/>
  <c r="K101" i="84"/>
  <c r="I101" i="84"/>
  <c r="G101" i="84"/>
  <c r="C101" i="84"/>
  <c r="R100" i="84"/>
  <c r="S100" i="84" s="1"/>
  <c r="Q100" i="84"/>
  <c r="O100" i="84"/>
  <c r="M100" i="84"/>
  <c r="K100" i="84"/>
  <c r="I100" i="84"/>
  <c r="G100" i="84"/>
  <c r="C100" i="84"/>
  <c r="R99" i="84"/>
  <c r="S99" i="84" s="1"/>
  <c r="Q99" i="84"/>
  <c r="O99" i="84"/>
  <c r="M99" i="84"/>
  <c r="K99" i="84"/>
  <c r="I99" i="84"/>
  <c r="G99" i="84"/>
  <c r="C99" i="84"/>
  <c r="R98" i="84"/>
  <c r="S98" i="84" s="1"/>
  <c r="Q98" i="84"/>
  <c r="O98" i="84"/>
  <c r="M98" i="84"/>
  <c r="K98" i="84"/>
  <c r="I98" i="84"/>
  <c r="G98" i="84"/>
  <c r="C98" i="84"/>
  <c r="R97" i="84"/>
  <c r="S97" i="84" s="1"/>
  <c r="Q97" i="84"/>
  <c r="O97" i="84"/>
  <c r="M97" i="84"/>
  <c r="K97" i="84"/>
  <c r="I97" i="84"/>
  <c r="G97" i="84"/>
  <c r="C97" i="84"/>
  <c r="R96" i="84"/>
  <c r="S96" i="84" s="1"/>
  <c r="Q96" i="84"/>
  <c r="O96" i="84"/>
  <c r="M96" i="84"/>
  <c r="K96" i="84"/>
  <c r="I96" i="84"/>
  <c r="G96" i="84"/>
  <c r="C96" i="84"/>
  <c r="R95" i="84"/>
  <c r="S95" i="84" s="1"/>
  <c r="Q95" i="84"/>
  <c r="O95" i="84"/>
  <c r="M95" i="84"/>
  <c r="K95" i="84"/>
  <c r="I95" i="84"/>
  <c r="G95" i="84"/>
  <c r="C95" i="84"/>
  <c r="R94" i="84"/>
  <c r="S94" i="84" s="1"/>
  <c r="Q94" i="84"/>
  <c r="O94" i="84"/>
  <c r="M94" i="84"/>
  <c r="K94" i="84"/>
  <c r="I94" i="84"/>
  <c r="G94" i="84"/>
  <c r="C94" i="84"/>
  <c r="R93" i="84"/>
  <c r="S93" i="84" s="1"/>
  <c r="Q93" i="84"/>
  <c r="O93" i="84"/>
  <c r="M93" i="84"/>
  <c r="K93" i="84"/>
  <c r="I93" i="84"/>
  <c r="G93" i="84"/>
  <c r="C93" i="84"/>
  <c r="R92" i="84"/>
  <c r="S92" i="84" s="1"/>
  <c r="Q92" i="84"/>
  <c r="O92" i="84"/>
  <c r="M92" i="84"/>
  <c r="K92" i="84"/>
  <c r="I92" i="84"/>
  <c r="G92" i="84"/>
  <c r="C92" i="84"/>
  <c r="R91" i="84"/>
  <c r="S91" i="84" s="1"/>
  <c r="Q91" i="84"/>
  <c r="O91" i="84"/>
  <c r="M91" i="84"/>
  <c r="K91" i="84"/>
  <c r="I91" i="84"/>
  <c r="G91" i="84"/>
  <c r="C91" i="84"/>
  <c r="R90" i="84"/>
  <c r="S90" i="84" s="1"/>
  <c r="Q90" i="84"/>
  <c r="O90" i="84"/>
  <c r="M90" i="84"/>
  <c r="K90" i="84"/>
  <c r="I90" i="84"/>
  <c r="G90" i="84"/>
  <c r="C90" i="84"/>
  <c r="R89" i="84"/>
  <c r="S89" i="84" s="1"/>
  <c r="Q89" i="84"/>
  <c r="O89" i="84"/>
  <c r="M89" i="84"/>
  <c r="K89" i="84"/>
  <c r="I89" i="84"/>
  <c r="G89" i="84"/>
  <c r="C89" i="84"/>
  <c r="R88" i="84"/>
  <c r="S88" i="84" s="1"/>
  <c r="Q88" i="84"/>
  <c r="O88" i="84"/>
  <c r="M88" i="84"/>
  <c r="K88" i="84"/>
  <c r="I88" i="84"/>
  <c r="G88" i="84"/>
  <c r="C88" i="84"/>
  <c r="R87" i="84"/>
  <c r="S87" i="84" s="1"/>
  <c r="Q87" i="84"/>
  <c r="O87" i="84"/>
  <c r="M87" i="84"/>
  <c r="K87" i="84"/>
  <c r="I87" i="84"/>
  <c r="G87" i="84"/>
  <c r="C87" i="84"/>
  <c r="R86" i="84"/>
  <c r="S86" i="84" s="1"/>
  <c r="Q86" i="84"/>
  <c r="O86" i="84"/>
  <c r="M86" i="84"/>
  <c r="K86" i="84"/>
  <c r="I86" i="84"/>
  <c r="G86" i="84"/>
  <c r="C86" i="84"/>
  <c r="R85" i="84"/>
  <c r="S85" i="84" s="1"/>
  <c r="Q85" i="84"/>
  <c r="O85" i="84"/>
  <c r="M85" i="84"/>
  <c r="K85" i="84"/>
  <c r="I85" i="84"/>
  <c r="G85" i="84"/>
  <c r="C85" i="84"/>
  <c r="R84" i="84"/>
  <c r="S84" i="84" s="1"/>
  <c r="Q84" i="84"/>
  <c r="O84" i="84"/>
  <c r="M84" i="84"/>
  <c r="K84" i="84"/>
  <c r="I84" i="84"/>
  <c r="G84" i="84"/>
  <c r="C84" i="84"/>
  <c r="R83" i="84"/>
  <c r="S83" i="84" s="1"/>
  <c r="Q83" i="84"/>
  <c r="O83" i="84"/>
  <c r="M83" i="84"/>
  <c r="K83" i="84"/>
  <c r="I83" i="84"/>
  <c r="G83" i="84"/>
  <c r="C83" i="84"/>
  <c r="R82" i="84"/>
  <c r="S82" i="84" s="1"/>
  <c r="Q82" i="84"/>
  <c r="O82" i="84"/>
  <c r="M82" i="84"/>
  <c r="K82" i="84"/>
  <c r="I82" i="84"/>
  <c r="G82" i="84"/>
  <c r="C82" i="84"/>
  <c r="R81" i="84"/>
  <c r="S81" i="84" s="1"/>
  <c r="Q81" i="84"/>
  <c r="O81" i="84"/>
  <c r="M81" i="84"/>
  <c r="K81" i="84"/>
  <c r="I81" i="84"/>
  <c r="G81" i="84"/>
  <c r="C81" i="84"/>
  <c r="R80" i="84"/>
  <c r="S80" i="84" s="1"/>
  <c r="Q80" i="84"/>
  <c r="O80" i="84"/>
  <c r="M80" i="84"/>
  <c r="K80" i="84"/>
  <c r="I80" i="84"/>
  <c r="G80" i="84"/>
  <c r="C80" i="84"/>
  <c r="R79" i="84"/>
  <c r="S79" i="84" s="1"/>
  <c r="Q79" i="84"/>
  <c r="O79" i="84"/>
  <c r="M79" i="84"/>
  <c r="K79" i="84"/>
  <c r="I79" i="84"/>
  <c r="G79" i="84"/>
  <c r="C79" i="84"/>
  <c r="R78" i="84"/>
  <c r="S78" i="84" s="1"/>
  <c r="Q78" i="84"/>
  <c r="O78" i="84"/>
  <c r="M78" i="84"/>
  <c r="K78" i="84"/>
  <c r="I78" i="84"/>
  <c r="G78" i="84"/>
  <c r="C78" i="84"/>
  <c r="R77" i="84"/>
  <c r="S77" i="84" s="1"/>
  <c r="Q77" i="84"/>
  <c r="O77" i="84"/>
  <c r="M77" i="84"/>
  <c r="K77" i="84"/>
  <c r="I77" i="84"/>
  <c r="G77" i="84"/>
  <c r="C77" i="84"/>
  <c r="R76" i="84"/>
  <c r="S76" i="84" s="1"/>
  <c r="Q76" i="84"/>
  <c r="O76" i="84"/>
  <c r="M76" i="84"/>
  <c r="K76" i="84"/>
  <c r="I76" i="84"/>
  <c r="G76" i="84"/>
  <c r="C76" i="84"/>
  <c r="R75" i="84"/>
  <c r="S75" i="84" s="1"/>
  <c r="Q75" i="84"/>
  <c r="O75" i="84"/>
  <c r="M75" i="84"/>
  <c r="K75" i="84"/>
  <c r="I75" i="84"/>
  <c r="G75" i="84"/>
  <c r="C75" i="84"/>
  <c r="R74" i="84"/>
  <c r="S74" i="84" s="1"/>
  <c r="Q74" i="84"/>
  <c r="O74" i="84"/>
  <c r="M74" i="84"/>
  <c r="K74" i="84"/>
  <c r="I74" i="84"/>
  <c r="G74" i="84"/>
  <c r="C74" i="84"/>
  <c r="R73" i="84"/>
  <c r="S73" i="84" s="1"/>
  <c r="Q73" i="84"/>
  <c r="O73" i="84"/>
  <c r="M73" i="84"/>
  <c r="K73" i="84"/>
  <c r="I73" i="84"/>
  <c r="G73" i="84"/>
  <c r="C73" i="84"/>
  <c r="R72" i="84"/>
  <c r="S72" i="84" s="1"/>
  <c r="Q72" i="84"/>
  <c r="O72" i="84"/>
  <c r="M72" i="84"/>
  <c r="K72" i="84"/>
  <c r="I72" i="84"/>
  <c r="G72" i="84"/>
  <c r="C72" i="84"/>
  <c r="R71" i="84"/>
  <c r="S71" i="84" s="1"/>
  <c r="Q71" i="84"/>
  <c r="O71" i="84"/>
  <c r="M71" i="84"/>
  <c r="K71" i="84"/>
  <c r="I71" i="84"/>
  <c r="G71" i="84"/>
  <c r="C71" i="84"/>
  <c r="R70" i="84"/>
  <c r="S70" i="84" s="1"/>
  <c r="Q70" i="84"/>
  <c r="O70" i="84"/>
  <c r="M70" i="84"/>
  <c r="K70" i="84"/>
  <c r="I70" i="84"/>
  <c r="G70" i="84"/>
  <c r="C70" i="84"/>
  <c r="R69" i="84"/>
  <c r="S69" i="84" s="1"/>
  <c r="Q69" i="84"/>
  <c r="O69" i="84"/>
  <c r="M69" i="84"/>
  <c r="K69" i="84"/>
  <c r="I69" i="84"/>
  <c r="G69" i="84"/>
  <c r="E69" i="84"/>
  <c r="C69" i="84"/>
  <c r="R68" i="84"/>
  <c r="S68" i="84" s="1"/>
  <c r="Q68" i="84"/>
  <c r="O68" i="84"/>
  <c r="M68" i="84"/>
  <c r="K68" i="84"/>
  <c r="I68" i="84"/>
  <c r="G68" i="84"/>
  <c r="C68" i="84"/>
  <c r="R67" i="84"/>
  <c r="S67" i="84" s="1"/>
  <c r="Q67" i="84"/>
  <c r="O67" i="84"/>
  <c r="M67" i="84"/>
  <c r="K67" i="84"/>
  <c r="I67" i="84"/>
  <c r="G67" i="84"/>
  <c r="C67" i="84"/>
  <c r="R66" i="84"/>
  <c r="S66" i="84" s="1"/>
  <c r="Q66" i="84"/>
  <c r="O66" i="84"/>
  <c r="M66" i="84"/>
  <c r="K66" i="84"/>
  <c r="I66" i="84"/>
  <c r="G66" i="84"/>
  <c r="C66" i="84"/>
  <c r="R65" i="84"/>
  <c r="S65" i="84" s="1"/>
  <c r="Q65" i="84"/>
  <c r="O65" i="84"/>
  <c r="M65" i="84"/>
  <c r="K65" i="84"/>
  <c r="I65" i="84"/>
  <c r="G65" i="84"/>
  <c r="C65" i="84"/>
  <c r="R64" i="84"/>
  <c r="S64" i="84" s="1"/>
  <c r="Q64" i="84"/>
  <c r="O64" i="84"/>
  <c r="M64" i="84"/>
  <c r="K64" i="84"/>
  <c r="I64" i="84"/>
  <c r="G64" i="84"/>
  <c r="C64" i="84"/>
  <c r="R63" i="84"/>
  <c r="S63" i="84" s="1"/>
  <c r="Q63" i="84"/>
  <c r="O63" i="84"/>
  <c r="M63" i="84"/>
  <c r="K63" i="84"/>
  <c r="I63" i="84"/>
  <c r="G63" i="84"/>
  <c r="C63" i="84"/>
  <c r="R62" i="84"/>
  <c r="S62" i="84" s="1"/>
  <c r="Q62" i="84"/>
  <c r="O62" i="84"/>
  <c r="M62" i="84"/>
  <c r="K62" i="84"/>
  <c r="I62" i="84"/>
  <c r="G62" i="84"/>
  <c r="C62" i="84"/>
  <c r="R61" i="84"/>
  <c r="S61" i="84" s="1"/>
  <c r="Q61" i="84"/>
  <c r="O61" i="84"/>
  <c r="M61" i="84"/>
  <c r="K61" i="84"/>
  <c r="I61" i="84"/>
  <c r="G61" i="84"/>
  <c r="C61" i="84"/>
  <c r="R60" i="84"/>
  <c r="S60" i="84" s="1"/>
  <c r="Q60" i="84"/>
  <c r="O60" i="84"/>
  <c r="M60" i="84"/>
  <c r="K60" i="84"/>
  <c r="I60" i="84"/>
  <c r="G60" i="84"/>
  <c r="C60" i="84"/>
  <c r="R59" i="84"/>
  <c r="S59" i="84" s="1"/>
  <c r="Q59" i="84"/>
  <c r="O59" i="84"/>
  <c r="M59" i="84"/>
  <c r="K59" i="84"/>
  <c r="I59" i="84"/>
  <c r="G59" i="84"/>
  <c r="C59" i="84"/>
  <c r="R58" i="84"/>
  <c r="S58" i="84" s="1"/>
  <c r="Q58" i="84"/>
  <c r="O58" i="84"/>
  <c r="M58" i="84"/>
  <c r="K58" i="84"/>
  <c r="I58" i="84"/>
  <c r="G58" i="84"/>
  <c r="C58" i="84"/>
  <c r="R57" i="84"/>
  <c r="S57" i="84" s="1"/>
  <c r="Q57" i="84"/>
  <c r="O57" i="84"/>
  <c r="M57" i="84"/>
  <c r="K57" i="84"/>
  <c r="I57" i="84"/>
  <c r="G57" i="84"/>
  <c r="E57" i="84"/>
  <c r="C57" i="84"/>
  <c r="R56" i="84"/>
  <c r="S56" i="84" s="1"/>
  <c r="Q56" i="84"/>
  <c r="O56" i="84"/>
  <c r="M56" i="84"/>
  <c r="K56" i="84"/>
  <c r="I56" i="84"/>
  <c r="G56" i="84"/>
  <c r="C56" i="84"/>
  <c r="R55" i="84"/>
  <c r="S55" i="84" s="1"/>
  <c r="Q55" i="84"/>
  <c r="O55" i="84"/>
  <c r="M55" i="84"/>
  <c r="K55" i="84"/>
  <c r="I55" i="84"/>
  <c r="G55" i="84"/>
  <c r="C55" i="84"/>
  <c r="R54" i="84"/>
  <c r="S54" i="84" s="1"/>
  <c r="Q54" i="84"/>
  <c r="O54" i="84"/>
  <c r="M54" i="84"/>
  <c r="K54" i="84"/>
  <c r="I54" i="84"/>
  <c r="G54" i="84"/>
  <c r="C54" i="84"/>
  <c r="R53" i="84"/>
  <c r="S53" i="84" s="1"/>
  <c r="Q53" i="84"/>
  <c r="O53" i="84"/>
  <c r="M53" i="84"/>
  <c r="K53" i="84"/>
  <c r="I53" i="84"/>
  <c r="G53" i="84"/>
  <c r="C53" i="84"/>
  <c r="R52" i="84"/>
  <c r="S52" i="84" s="1"/>
  <c r="Q52" i="84"/>
  <c r="O52" i="84"/>
  <c r="M52" i="84"/>
  <c r="K52" i="84"/>
  <c r="I52" i="84"/>
  <c r="G52" i="84"/>
  <c r="C52" i="84"/>
  <c r="R51" i="84"/>
  <c r="S51" i="84" s="1"/>
  <c r="Q51" i="84"/>
  <c r="O51" i="84"/>
  <c r="M51" i="84"/>
  <c r="K51" i="84"/>
  <c r="I51" i="84"/>
  <c r="G51" i="84"/>
  <c r="C51" i="84"/>
  <c r="R50" i="84"/>
  <c r="S50" i="84" s="1"/>
  <c r="Q50" i="84"/>
  <c r="O50" i="84"/>
  <c r="M50" i="84"/>
  <c r="K50" i="84"/>
  <c r="I50" i="84"/>
  <c r="G50" i="84"/>
  <c r="C50" i="84"/>
  <c r="R49" i="84"/>
  <c r="S49" i="84" s="1"/>
  <c r="Q49" i="84"/>
  <c r="O49" i="84"/>
  <c r="M49" i="84"/>
  <c r="K49" i="84"/>
  <c r="I49" i="84"/>
  <c r="G49" i="84"/>
  <c r="C49" i="84"/>
  <c r="R48" i="84"/>
  <c r="S48" i="84" s="1"/>
  <c r="Q48" i="84"/>
  <c r="O48" i="84"/>
  <c r="M48" i="84"/>
  <c r="K48" i="84"/>
  <c r="I48" i="84"/>
  <c r="G48" i="84"/>
  <c r="C48" i="84"/>
  <c r="R47" i="84"/>
  <c r="S47" i="84" s="1"/>
  <c r="Q47" i="84"/>
  <c r="O47" i="84"/>
  <c r="M47" i="84"/>
  <c r="K47" i="84"/>
  <c r="I47" i="84"/>
  <c r="G47" i="84"/>
  <c r="C47" i="84"/>
  <c r="R46" i="84"/>
  <c r="S46" i="84" s="1"/>
  <c r="Q46" i="84"/>
  <c r="O46" i="84"/>
  <c r="M46" i="84"/>
  <c r="K46" i="84"/>
  <c r="I46" i="84"/>
  <c r="G46" i="84"/>
  <c r="C46" i="84"/>
  <c r="R45" i="84"/>
  <c r="S45" i="84" s="1"/>
  <c r="Q45" i="84"/>
  <c r="O45" i="84"/>
  <c r="M45" i="84"/>
  <c r="K45" i="84"/>
  <c r="I45" i="84"/>
  <c r="G45" i="84"/>
  <c r="C45" i="84"/>
  <c r="R44" i="84"/>
  <c r="S44" i="84" s="1"/>
  <c r="Q44" i="84"/>
  <c r="O44" i="84"/>
  <c r="M44" i="84"/>
  <c r="K44" i="84"/>
  <c r="I44" i="84"/>
  <c r="G44" i="84"/>
  <c r="C44" i="84"/>
  <c r="R43" i="84"/>
  <c r="S43" i="84" s="1"/>
  <c r="Q43" i="84"/>
  <c r="O43" i="84"/>
  <c r="M43" i="84"/>
  <c r="K43" i="84"/>
  <c r="I43" i="84"/>
  <c r="G43" i="84"/>
  <c r="C43" i="84"/>
  <c r="R42" i="84"/>
  <c r="S42" i="84" s="1"/>
  <c r="Q42" i="84"/>
  <c r="O42" i="84"/>
  <c r="M42" i="84"/>
  <c r="K42" i="84"/>
  <c r="I42" i="84"/>
  <c r="G42" i="84"/>
  <c r="C42" i="84"/>
  <c r="R41" i="84"/>
  <c r="S41" i="84" s="1"/>
  <c r="Q41" i="84"/>
  <c r="O41" i="84"/>
  <c r="M41" i="84"/>
  <c r="K41" i="84"/>
  <c r="I41" i="84"/>
  <c r="G41" i="84"/>
  <c r="C41" i="84"/>
  <c r="R40" i="84"/>
  <c r="S40" i="84" s="1"/>
  <c r="Q40" i="84"/>
  <c r="O40" i="84"/>
  <c r="M40" i="84"/>
  <c r="K40" i="84"/>
  <c r="I40" i="84"/>
  <c r="G40" i="84"/>
  <c r="C40" i="84"/>
  <c r="R39" i="84"/>
  <c r="S39" i="84" s="1"/>
  <c r="Q39" i="84"/>
  <c r="O39" i="84"/>
  <c r="M39" i="84"/>
  <c r="K39" i="84"/>
  <c r="I39" i="84"/>
  <c r="G39" i="84"/>
  <c r="E39" i="84"/>
  <c r="C39" i="84"/>
  <c r="R38" i="84"/>
  <c r="S38" i="84" s="1"/>
  <c r="Q38" i="84"/>
  <c r="O38" i="84"/>
  <c r="M38" i="84"/>
  <c r="K38" i="84"/>
  <c r="I38" i="84"/>
  <c r="G38" i="84"/>
  <c r="C38" i="84"/>
  <c r="R37" i="84"/>
  <c r="S37" i="84" s="1"/>
  <c r="Q37" i="84"/>
  <c r="O37" i="84"/>
  <c r="M37" i="84"/>
  <c r="K37" i="84"/>
  <c r="I37" i="84"/>
  <c r="G37" i="84"/>
  <c r="C37" i="84"/>
  <c r="R36" i="84"/>
  <c r="S36" i="84" s="1"/>
  <c r="Q36" i="84"/>
  <c r="O36" i="84"/>
  <c r="M36" i="84"/>
  <c r="K36" i="84"/>
  <c r="I36" i="84"/>
  <c r="G36" i="84"/>
  <c r="C36" i="84"/>
  <c r="R35" i="84"/>
  <c r="S35" i="84" s="1"/>
  <c r="Q35" i="84"/>
  <c r="O35" i="84"/>
  <c r="M35" i="84"/>
  <c r="K35" i="84"/>
  <c r="I35" i="84"/>
  <c r="G35" i="84"/>
  <c r="C35" i="84"/>
  <c r="R34" i="84"/>
  <c r="S34" i="84" s="1"/>
  <c r="Q34" i="84"/>
  <c r="O34" i="84"/>
  <c r="M34" i="84"/>
  <c r="K34" i="84"/>
  <c r="I34" i="84"/>
  <c r="G34" i="84"/>
  <c r="C34" i="84"/>
  <c r="R33" i="84"/>
  <c r="S33" i="84" s="1"/>
  <c r="Q33" i="84"/>
  <c r="O33" i="84"/>
  <c r="M33" i="84"/>
  <c r="K33" i="84"/>
  <c r="I33" i="84"/>
  <c r="G33" i="84"/>
  <c r="E33" i="84"/>
  <c r="C33" i="84"/>
  <c r="Q32" i="84"/>
  <c r="O32" i="84"/>
  <c r="M32" i="84"/>
  <c r="K32" i="84"/>
  <c r="I32" i="84"/>
  <c r="G32" i="84"/>
  <c r="E32" i="84"/>
  <c r="B32" i="84"/>
  <c r="Q31" i="84"/>
  <c r="O31" i="84"/>
  <c r="M31" i="84"/>
  <c r="K31" i="84"/>
  <c r="I31" i="84"/>
  <c r="G31" i="84"/>
  <c r="E31" i="84"/>
  <c r="B31" i="84"/>
  <c r="Q30" i="84"/>
  <c r="O30" i="84"/>
  <c r="M30" i="84"/>
  <c r="K30" i="84"/>
  <c r="I30" i="84"/>
  <c r="G30" i="84"/>
  <c r="E30" i="84"/>
  <c r="B30" i="84"/>
  <c r="Q29" i="84"/>
  <c r="O29" i="84"/>
  <c r="M29" i="84"/>
  <c r="K29" i="84"/>
  <c r="I29" i="84"/>
  <c r="G29" i="84"/>
  <c r="E29" i="84"/>
  <c r="Q28" i="84"/>
  <c r="O28" i="84"/>
  <c r="M28" i="84"/>
  <c r="K28" i="84"/>
  <c r="I28" i="84"/>
  <c r="G28" i="84"/>
  <c r="Q27" i="84"/>
  <c r="O27" i="84"/>
  <c r="M27" i="84"/>
  <c r="K27" i="84"/>
  <c r="I27" i="84"/>
  <c r="G27" i="84"/>
  <c r="E27" i="84"/>
  <c r="Q26" i="84"/>
  <c r="O26" i="84"/>
  <c r="M26" i="84"/>
  <c r="K26" i="84"/>
  <c r="I26" i="84"/>
  <c r="G26" i="84"/>
  <c r="Q25" i="84"/>
  <c r="O25" i="84"/>
  <c r="M25" i="84"/>
  <c r="K25" i="84"/>
  <c r="I25" i="84"/>
  <c r="G25" i="84"/>
  <c r="E25" i="84"/>
  <c r="C31" i="84"/>
  <c r="P23" i="84"/>
  <c r="N23" i="84"/>
  <c r="L23" i="84"/>
  <c r="J23" i="84"/>
  <c r="H23" i="84"/>
  <c r="F23" i="84"/>
  <c r="D23" i="84"/>
  <c r="B22" i="84"/>
  <c r="B14" i="74" s="1"/>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D6" i="84"/>
  <c r="E191" i="84" s="1"/>
  <c r="S2" i="84"/>
  <c r="R2" i="84"/>
  <c r="Q2" i="84"/>
  <c r="P2" i="84"/>
  <c r="O2" i="84"/>
  <c r="N2" i="84"/>
  <c r="M2" i="84"/>
  <c r="L2" i="84"/>
  <c r="K2" i="84"/>
  <c r="J2" i="84"/>
  <c r="I2" i="84"/>
  <c r="H2" i="84"/>
  <c r="G2" i="84"/>
  <c r="E2" i="84"/>
  <c r="D2" i="84"/>
  <c r="C2" i="84"/>
  <c r="I48" i="34"/>
  <c r="G48" i="34"/>
  <c r="E48" i="34"/>
  <c r="I37" i="34"/>
  <c r="G37" i="34"/>
  <c r="E37" i="34"/>
  <c r="C37" i="34"/>
  <c r="I34" i="34"/>
  <c r="G34" i="34"/>
  <c r="E34" i="34"/>
  <c r="E67" i="34"/>
  <c r="D67" i="34" s="1"/>
  <c r="C67" i="34" s="1"/>
  <c r="F67" i="34"/>
  <c r="I7" i="34"/>
  <c r="G7" i="34"/>
  <c r="E7" i="34"/>
  <c r="G105" i="34"/>
  <c r="H105" i="34" s="1"/>
  <c r="I105" i="34" s="1"/>
  <c r="E105" i="34"/>
  <c r="F105" i="34" s="1"/>
  <c r="D105" i="34"/>
  <c r="F20" i="84"/>
  <c r="E41" i="84" l="1"/>
  <c r="E73" i="84"/>
  <c r="E137" i="84"/>
  <c r="E53" i="84"/>
  <c r="E89" i="84"/>
  <c r="E153" i="84"/>
  <c r="E207" i="84"/>
  <c r="E35" i="84"/>
  <c r="E45" i="84"/>
  <c r="E61" i="84"/>
  <c r="E77" i="84"/>
  <c r="E93" i="84"/>
  <c r="E109" i="84"/>
  <c r="E125" i="84"/>
  <c r="E141" i="84"/>
  <c r="E157" i="84"/>
  <c r="E173" i="84"/>
  <c r="E6" i="84"/>
  <c r="F6" i="84" s="1"/>
  <c r="G6" i="84" s="1"/>
  <c r="H6" i="84" s="1"/>
  <c r="I6" i="84" s="1"/>
  <c r="J6" i="84" s="1"/>
  <c r="K6" i="84" s="1"/>
  <c r="L6" i="84" s="1"/>
  <c r="M6" i="84" s="1"/>
  <c r="N6" i="84" s="1"/>
  <c r="O6" i="84" s="1"/>
  <c r="P6" i="84" s="1"/>
  <c r="Q6" i="84" s="1"/>
  <c r="R6" i="84" s="1"/>
  <c r="S6" i="84" s="1"/>
  <c r="E523" i="84"/>
  <c r="E519" i="84"/>
  <c r="E515" i="84"/>
  <c r="E511" i="84"/>
  <c r="E507" i="84"/>
  <c r="E503" i="84"/>
  <c r="E499" i="84"/>
  <c r="E495" i="84"/>
  <c r="E491" i="84"/>
  <c r="E487" i="84"/>
  <c r="E483" i="84"/>
  <c r="E479" i="84"/>
  <c r="E475" i="84"/>
  <c r="E471" i="84"/>
  <c r="E467" i="84"/>
  <c r="E463" i="84"/>
  <c r="E459" i="84"/>
  <c r="E455" i="84"/>
  <c r="E451" i="84"/>
  <c r="E447" i="84"/>
  <c r="E443" i="84"/>
  <c r="E439" i="84"/>
  <c r="E435" i="84"/>
  <c r="E431" i="84"/>
  <c r="E427" i="84"/>
  <c r="E423" i="84"/>
  <c r="E419" i="84"/>
  <c r="E415" i="84"/>
  <c r="E411" i="84"/>
  <c r="E407" i="84"/>
  <c r="E403" i="84"/>
  <c r="E399" i="84"/>
  <c r="E395" i="84"/>
  <c r="E391" i="84"/>
  <c r="E387" i="84"/>
  <c r="E383" i="84"/>
  <c r="E379" i="84"/>
  <c r="E375" i="84"/>
  <c r="E371" i="84"/>
  <c r="E367" i="84"/>
  <c r="E363" i="84"/>
  <c r="E359" i="84"/>
  <c r="E355" i="84"/>
  <c r="E351" i="84"/>
  <c r="E347" i="84"/>
  <c r="E343" i="84"/>
  <c r="E339" i="84"/>
  <c r="E335" i="84"/>
  <c r="E331" i="84"/>
  <c r="E327" i="84"/>
  <c r="E323" i="84"/>
  <c r="E319" i="84"/>
  <c r="E315" i="84"/>
  <c r="E311" i="84"/>
  <c r="E307" i="84"/>
  <c r="E303" i="84"/>
  <c r="E299" i="84"/>
  <c r="E295" i="84"/>
  <c r="E291" i="84"/>
  <c r="E287" i="84"/>
  <c r="E283" i="84"/>
  <c r="E279" i="84"/>
  <c r="E275" i="84"/>
  <c r="E271" i="84"/>
  <c r="E267" i="84"/>
  <c r="E263" i="84"/>
  <c r="E259" i="84"/>
  <c r="E255" i="84"/>
  <c r="E251" i="84"/>
  <c r="E247" i="84"/>
  <c r="E243" i="84"/>
  <c r="E239" i="84"/>
  <c r="E235" i="84"/>
  <c r="E231" i="84"/>
  <c r="E227" i="84"/>
  <c r="E223" i="84"/>
  <c r="E219" i="84"/>
  <c r="E215" i="84"/>
  <c r="E211" i="84"/>
  <c r="E522" i="84"/>
  <c r="E518" i="84"/>
  <c r="E514" i="84"/>
  <c r="E510" i="84"/>
  <c r="E506" i="84"/>
  <c r="E502" i="84"/>
  <c r="E498" i="84"/>
  <c r="E494" i="84"/>
  <c r="E490" i="84"/>
  <c r="E486" i="84"/>
  <c r="E482" i="84"/>
  <c r="E478" i="84"/>
  <c r="E474" i="84"/>
  <c r="E470" i="84"/>
  <c r="E466" i="84"/>
  <c r="E462" i="84"/>
  <c r="E458" i="84"/>
  <c r="E454" i="84"/>
  <c r="E450" i="84"/>
  <c r="E446" i="84"/>
  <c r="E442" i="84"/>
  <c r="E438" i="84"/>
  <c r="E434" i="84"/>
  <c r="E430" i="84"/>
  <c r="E426" i="84"/>
  <c r="E422" i="84"/>
  <c r="E418" i="84"/>
  <c r="E414" i="84"/>
  <c r="E410" i="84"/>
  <c r="E406" i="84"/>
  <c r="E402" i="84"/>
  <c r="E398" i="84"/>
  <c r="E394" i="84"/>
  <c r="E390" i="84"/>
  <c r="E386" i="84"/>
  <c r="E382" i="84"/>
  <c r="E378" i="84"/>
  <c r="E374" i="84"/>
  <c r="E370" i="84"/>
  <c r="E366" i="84"/>
  <c r="E362" i="84"/>
  <c r="E358" i="84"/>
  <c r="E354" i="84"/>
  <c r="E350" i="84"/>
  <c r="E346" i="84"/>
  <c r="E342" i="84"/>
  <c r="E338" i="84"/>
  <c r="E334" i="84"/>
  <c r="E330" i="84"/>
  <c r="E326" i="84"/>
  <c r="E322" i="84"/>
  <c r="E318" i="84"/>
  <c r="E314" i="84"/>
  <c r="E310" i="84"/>
  <c r="E306" i="84"/>
  <c r="E302" i="84"/>
  <c r="E298" i="84"/>
  <c r="E294" i="84"/>
  <c r="E290" i="84"/>
  <c r="E286" i="84"/>
  <c r="E282" i="84"/>
  <c r="E278" i="84"/>
  <c r="E274" i="84"/>
  <c r="E270" i="84"/>
  <c r="E266" i="84"/>
  <c r="E262" i="84"/>
  <c r="E258" i="84"/>
  <c r="E254" i="84"/>
  <c r="E250" i="84"/>
  <c r="E246" i="84"/>
  <c r="E242" i="84"/>
  <c r="E238" i="84"/>
  <c r="E234" i="84"/>
  <c r="E230" i="84"/>
  <c r="E226" i="84"/>
  <c r="E222" i="84"/>
  <c r="E218" i="84"/>
  <c r="E214" i="84"/>
  <c r="E210" i="84"/>
  <c r="E206" i="84"/>
  <c r="E202" i="84"/>
  <c r="E198" i="84"/>
  <c r="E194" i="84"/>
  <c r="E190" i="84"/>
  <c r="E186" i="84"/>
  <c r="E521" i="84"/>
  <c r="E517" i="84"/>
  <c r="E513" i="84"/>
  <c r="E509" i="84"/>
  <c r="E505" i="84"/>
  <c r="E501" i="84"/>
  <c r="E497" i="84"/>
  <c r="E493" i="84"/>
  <c r="E489" i="84"/>
  <c r="E485" i="84"/>
  <c r="E481" i="84"/>
  <c r="E477" i="84"/>
  <c r="E473" i="84"/>
  <c r="E469" i="84"/>
  <c r="E465" i="84"/>
  <c r="E461"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325" i="84"/>
  <c r="E321" i="84"/>
  <c r="E317" i="84"/>
  <c r="E313" i="84"/>
  <c r="E309" i="84"/>
  <c r="E305" i="84"/>
  <c r="E301" i="84"/>
  <c r="E297" i="84"/>
  <c r="E293" i="84"/>
  <c r="E289" i="84"/>
  <c r="E285" i="84"/>
  <c r="E281" i="84"/>
  <c r="E277" i="84"/>
  <c r="E273" i="84"/>
  <c r="E269" i="84"/>
  <c r="E265" i="84"/>
  <c r="E261" i="84"/>
  <c r="E257" i="84"/>
  <c r="E253" i="84"/>
  <c r="E249" i="84"/>
  <c r="E245" i="84"/>
  <c r="E241" i="84"/>
  <c r="E237" i="84"/>
  <c r="E233" i="84"/>
  <c r="E229" i="84"/>
  <c r="E524" i="84"/>
  <c r="E516" i="84"/>
  <c r="E500" i="84"/>
  <c r="E484" i="84"/>
  <c r="E468" i="84"/>
  <c r="E452" i="84"/>
  <c r="E436" i="84"/>
  <c r="E420" i="84"/>
  <c r="E404" i="84"/>
  <c r="E388" i="84"/>
  <c r="E372" i="84"/>
  <c r="E356" i="84"/>
  <c r="E340" i="84"/>
  <c r="E324" i="84"/>
  <c r="E308" i="84"/>
  <c r="E292" i="84"/>
  <c r="E276" i="84"/>
  <c r="E260" i="84"/>
  <c r="E244" i="84"/>
  <c r="E228" i="84"/>
  <c r="E220" i="84"/>
  <c r="E212" i="84"/>
  <c r="E205" i="84"/>
  <c r="E200" i="84"/>
  <c r="E195" i="84"/>
  <c r="E189" i="84"/>
  <c r="E184" i="84"/>
  <c r="E180" i="84"/>
  <c r="E176" i="84"/>
  <c r="E172" i="84"/>
  <c r="E168" i="84"/>
  <c r="E164" i="84"/>
  <c r="E160" i="84"/>
  <c r="E156" i="84"/>
  <c r="E152" i="84"/>
  <c r="E148" i="84"/>
  <c r="E144" i="84"/>
  <c r="E140" i="84"/>
  <c r="E136" i="84"/>
  <c r="E132" i="84"/>
  <c r="E128" i="84"/>
  <c r="E124" i="84"/>
  <c r="E120" i="84"/>
  <c r="E116" i="84"/>
  <c r="E112" i="84"/>
  <c r="E108" i="84"/>
  <c r="E104" i="84"/>
  <c r="E100" i="84"/>
  <c r="E96" i="84"/>
  <c r="E92" i="84"/>
  <c r="E88" i="84"/>
  <c r="E84" i="84"/>
  <c r="E80" i="84"/>
  <c r="E76" i="84"/>
  <c r="E72" i="84"/>
  <c r="E68" i="84"/>
  <c r="E64" i="84"/>
  <c r="E60" i="84"/>
  <c r="E56" i="84"/>
  <c r="E52" i="84"/>
  <c r="E48" i="84"/>
  <c r="E44" i="84"/>
  <c r="E40" i="84"/>
  <c r="E36" i="84"/>
  <c r="E26" i="84"/>
  <c r="E115" i="84"/>
  <c r="E111" i="84"/>
  <c r="E107" i="84"/>
  <c r="E103" i="84"/>
  <c r="E99" i="84"/>
  <c r="E95" i="84"/>
  <c r="E91" i="84"/>
  <c r="E83" i="84"/>
  <c r="E79" i="84"/>
  <c r="E75" i="84"/>
  <c r="E71" i="84"/>
  <c r="E63" i="84"/>
  <c r="E59" i="84"/>
  <c r="E55" i="84"/>
  <c r="E51" i="84"/>
  <c r="E43" i="84"/>
  <c r="E512" i="84"/>
  <c r="E496" i="84"/>
  <c r="E480" i="84"/>
  <c r="E464" i="84"/>
  <c r="E448" i="84"/>
  <c r="E432" i="84"/>
  <c r="E416" i="84"/>
  <c r="E400" i="84"/>
  <c r="E384" i="84"/>
  <c r="E368" i="84"/>
  <c r="E352" i="84"/>
  <c r="E336" i="84"/>
  <c r="E320" i="84"/>
  <c r="E304" i="84"/>
  <c r="E288" i="84"/>
  <c r="E272" i="84"/>
  <c r="E256" i="84"/>
  <c r="E240" i="84"/>
  <c r="E225" i="84"/>
  <c r="E217" i="84"/>
  <c r="E209" i="84"/>
  <c r="E204" i="84"/>
  <c r="E199" i="84"/>
  <c r="E193" i="84"/>
  <c r="E188" i="84"/>
  <c r="E183" i="84"/>
  <c r="E179" i="84"/>
  <c r="E175" i="84"/>
  <c r="E171" i="84"/>
  <c r="E167" i="84"/>
  <c r="E163" i="84"/>
  <c r="E159" i="84"/>
  <c r="E155" i="84"/>
  <c r="E151" i="84"/>
  <c r="E147" i="84"/>
  <c r="E143" i="84"/>
  <c r="E139" i="84"/>
  <c r="E135" i="84"/>
  <c r="E131" i="84"/>
  <c r="E127" i="84"/>
  <c r="E123" i="84"/>
  <c r="E119" i="84"/>
  <c r="E87" i="84"/>
  <c r="E67" i="84"/>
  <c r="E47" i="84"/>
  <c r="E508" i="84"/>
  <c r="E492" i="84"/>
  <c r="E476" i="84"/>
  <c r="E460" i="84"/>
  <c r="E444" i="84"/>
  <c r="E428" i="84"/>
  <c r="E412" i="84"/>
  <c r="E396" i="84"/>
  <c r="E380" i="84"/>
  <c r="E364" i="84"/>
  <c r="E348" i="84"/>
  <c r="E332" i="84"/>
  <c r="E316" i="84"/>
  <c r="E300" i="84"/>
  <c r="E284" i="84"/>
  <c r="E268" i="84"/>
  <c r="E252" i="84"/>
  <c r="E236" i="84"/>
  <c r="E224" i="84"/>
  <c r="E216" i="84"/>
  <c r="E208" i="84"/>
  <c r="E203" i="84"/>
  <c r="E197" i="84"/>
  <c r="E192" i="84"/>
  <c r="E187" i="84"/>
  <c r="E182" i="84"/>
  <c r="E178" i="84"/>
  <c r="E174" i="84"/>
  <c r="E170" i="84"/>
  <c r="E166" i="84"/>
  <c r="E162" i="84"/>
  <c r="E158" i="84"/>
  <c r="E154" i="84"/>
  <c r="E150" i="84"/>
  <c r="E146" i="84"/>
  <c r="E142" i="84"/>
  <c r="E138" i="84"/>
  <c r="E134" i="84"/>
  <c r="E130" i="84"/>
  <c r="E126" i="84"/>
  <c r="E122" i="84"/>
  <c r="E118" i="84"/>
  <c r="E114" i="84"/>
  <c r="E110" i="84"/>
  <c r="E106" i="84"/>
  <c r="E102" i="84"/>
  <c r="E98" i="84"/>
  <c r="E94" i="84"/>
  <c r="E90" i="84"/>
  <c r="E86" i="84"/>
  <c r="E82" i="84"/>
  <c r="E78" i="84"/>
  <c r="E74" i="84"/>
  <c r="E70" i="84"/>
  <c r="E66" i="84"/>
  <c r="E62" i="84"/>
  <c r="E58" i="84"/>
  <c r="E54" i="84"/>
  <c r="E50" i="84"/>
  <c r="E46" i="84"/>
  <c r="E42" i="84"/>
  <c r="E38" i="84"/>
  <c r="E34" i="84"/>
  <c r="E28" i="84"/>
  <c r="E520" i="84"/>
  <c r="E504" i="84"/>
  <c r="E488" i="84"/>
  <c r="E472" i="84"/>
  <c r="E456" i="84"/>
  <c r="E440" i="84"/>
  <c r="E424" i="84"/>
  <c r="E408" i="84"/>
  <c r="E392" i="84"/>
  <c r="E376" i="84"/>
  <c r="E360" i="84"/>
  <c r="E344" i="84"/>
  <c r="E328" i="84"/>
  <c r="E312" i="84"/>
  <c r="E296" i="84"/>
  <c r="E280" i="84"/>
  <c r="E264" i="84"/>
  <c r="E248" i="84"/>
  <c r="E232" i="84"/>
  <c r="E221" i="84"/>
  <c r="E213" i="84"/>
  <c r="E37" i="84"/>
  <c r="E49" i="84"/>
  <c r="E65" i="84"/>
  <c r="E81" i="84"/>
  <c r="E97" i="84"/>
  <c r="E113" i="84"/>
  <c r="E129" i="84"/>
  <c r="E145" i="84"/>
  <c r="E161" i="84"/>
  <c r="E177" i="84"/>
  <c r="E196" i="84"/>
  <c r="E85" i="84"/>
  <c r="E101" i="84"/>
  <c r="E117" i="84"/>
  <c r="E133" i="84"/>
  <c r="E149" i="84"/>
  <c r="E165" i="84"/>
  <c r="E181" i="84"/>
  <c r="E201" i="84"/>
  <c r="K2" i="80"/>
  <c r="K5" i="80" s="1"/>
  <c r="K14" i="80" s="1"/>
  <c r="C30" i="84"/>
  <c r="C27" i="84"/>
  <c r="R27" i="84" s="1"/>
  <c r="S27" i="84" s="1"/>
  <c r="C28" i="84"/>
  <c r="R28" i="84" s="1"/>
  <c r="S28" i="84" s="1"/>
  <c r="C25" i="84"/>
  <c r="C26" i="84"/>
  <c r="C29" i="84"/>
  <c r="R29" i="84" s="1"/>
  <c r="S29" i="84" s="1"/>
  <c r="C32" i="84"/>
  <c r="R7" i="81"/>
  <c r="J49" i="67"/>
  <c r="Y6" i="1"/>
  <c r="B21" i="1"/>
  <c r="N6" i="1"/>
  <c r="N21" i="1"/>
  <c r="N19" i="1"/>
  <c r="N18" i="1"/>
  <c r="I17" i="3"/>
  <c r="I18" i="3"/>
  <c r="I16" i="3"/>
  <c r="C17" i="3"/>
  <c r="C18" i="3"/>
  <c r="C16" i="3"/>
  <c r="I14" i="3"/>
  <c r="I15" i="3"/>
  <c r="C14" i="3"/>
  <c r="C15" i="3"/>
  <c r="C13" i="3"/>
  <c r="I13" i="3"/>
  <c r="I14" i="80"/>
  <c r="B57" i="1"/>
  <c r="D3" i="4"/>
  <c r="I10" i="80"/>
  <c r="I5"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U46" i="79"/>
  <c r="AI46" i="79" s="1"/>
  <c r="AD47" i="79"/>
  <c r="U50" i="79"/>
  <c r="AI50" i="79" s="1"/>
  <c r="AD51" i="79"/>
  <c r="AR18" i="79"/>
  <c r="AR19" i="79" s="1"/>
  <c r="AR20" i="79" s="1"/>
  <c r="AR21" i="79" s="1"/>
  <c r="AR22" i="79" s="1"/>
  <c r="AR23" i="79" s="1"/>
  <c r="AR24" i="79" s="1"/>
  <c r="T33" i="79"/>
  <c r="T35" i="79"/>
  <c r="T34" i="79"/>
  <c r="AR40" i="79"/>
  <c r="AR41" i="79" s="1"/>
  <c r="AR42" i="79" s="1"/>
  <c r="AR43" i="79" s="1"/>
  <c r="AR44" i="79" s="1"/>
  <c r="AR45" i="79" s="1"/>
  <c r="AR46" i="79" s="1"/>
  <c r="AR47" i="79" s="1"/>
  <c r="AR48" i="79" s="1"/>
  <c r="AR49" i="79" s="1"/>
  <c r="AR50" i="79" s="1"/>
  <c r="AR51" i="79" s="1"/>
  <c r="AR52" i="79" s="1"/>
  <c r="AD38" i="79"/>
  <c r="AD37" i="79"/>
  <c r="AD36" i="79"/>
  <c r="S35" i="79"/>
  <c r="AG35" i="79" s="1"/>
  <c r="S33" i="79"/>
  <c r="AG33" i="79" s="1"/>
  <c r="S34" i="79"/>
  <c r="AG34"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40" i="79"/>
  <c r="AK40" i="79" s="1"/>
  <c r="AH40"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33" i="79"/>
  <c r="AK33" i="79" s="1"/>
  <c r="AH33" i="79"/>
  <c r="W49" i="79"/>
  <c r="AK49" i="79" s="1"/>
  <c r="AH49"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Q79" i="71"/>
  <c r="P79" i="71"/>
  <c r="O79" i="71"/>
  <c r="N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O57" i="71"/>
  <c r="C58" i="71" s="1"/>
  <c r="N57" i="71"/>
  <c r="B58" i="71" s="1"/>
  <c r="D57" i="71"/>
  <c r="Q56" i="71"/>
  <c r="P56" i="71"/>
  <c r="O56" i="71"/>
  <c r="N56" i="71"/>
  <c r="Q55" i="71"/>
  <c r="P55" i="71"/>
  <c r="O55" i="71"/>
  <c r="N55" i="71"/>
  <c r="Q54" i="71"/>
  <c r="P54" i="71"/>
  <c r="O54" i="71"/>
  <c r="N54" i="71"/>
  <c r="C54" i="71"/>
  <c r="C55" i="71" s="1"/>
  <c r="C56" i="71" s="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P33" i="71"/>
  <c r="E34" i="71" s="1"/>
  <c r="E35" i="71" s="1"/>
  <c r="E36" i="71" s="1"/>
  <c r="U36" i="71" s="1"/>
  <c r="O33" i="71"/>
  <c r="C34"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Y29" i="71"/>
  <c r="Z29" i="71" s="1"/>
  <c r="X34" i="71"/>
  <c r="AA35" i="71"/>
  <c r="C38" i="71"/>
  <c r="X38" i="71"/>
  <c r="F51" i="71"/>
  <c r="F52" i="71" s="1"/>
  <c r="V52" i="71" s="1"/>
  <c r="X26" i="71"/>
  <c r="D30" i="71"/>
  <c r="C51" i="71"/>
  <c r="P28" i="71"/>
  <c r="U56" i="71"/>
  <c r="E60" i="71"/>
  <c r="U60" i="71" s="1"/>
  <c r="U68" i="71"/>
  <c r="E67" i="71"/>
  <c r="Q28" i="71"/>
  <c r="D54" i="71"/>
  <c r="C59" i="71"/>
  <c r="D58" i="71"/>
  <c r="D62" i="71"/>
  <c r="B66" i="71"/>
  <c r="Q68" i="71"/>
  <c r="E71" i="71"/>
  <c r="E70" i="71" s="1"/>
  <c r="E75" i="71"/>
  <c r="E74" i="71" s="1"/>
  <c r="D76" i="71"/>
  <c r="E79" i="71"/>
  <c r="E78" i="71" s="1"/>
  <c r="D80" i="71"/>
  <c r="C87" i="71"/>
  <c r="F28" i="71"/>
  <c r="F27" i="71" s="1"/>
  <c r="F26" i="71" s="1"/>
  <c r="AA28" i="71"/>
  <c r="C60" i="71"/>
  <c r="D60" i="71" s="1"/>
  <c r="D59" i="71"/>
  <c r="D55" i="71"/>
  <c r="P67" i="71"/>
  <c r="E66"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H18" i="35"/>
  <c r="AB18" i="35" s="1"/>
  <c r="J18" i="35"/>
  <c r="H21" i="37"/>
  <c r="U21" i="37" s="1"/>
  <c r="F21" i="37"/>
  <c r="AA21" i="37" s="1"/>
  <c r="H21" i="34"/>
  <c r="AB21" i="34" s="1"/>
  <c r="H21" i="33"/>
  <c r="U21" i="33" s="1"/>
  <c r="F21" i="33"/>
  <c r="H1" i="69"/>
  <c r="AC25" i="40"/>
  <c r="U25" i="40"/>
  <c r="U29" i="39"/>
  <c r="W29" i="39"/>
  <c r="W18" i="36"/>
  <c r="AB21" i="37"/>
  <c r="S21" i="37"/>
  <c r="AB21" i="33"/>
  <c r="AA21" i="33"/>
  <c r="S21" i="33"/>
  <c r="AC18" i="35"/>
  <c r="W18" i="35"/>
  <c r="J21" i="37"/>
  <c r="W21" i="37" s="1"/>
  <c r="J21" i="34"/>
  <c r="W21" i="34" s="1"/>
  <c r="J21" i="33"/>
  <c r="H21" i="21"/>
  <c r="U21" i="21" s="1"/>
  <c r="F38" i="69"/>
  <c r="E37" i="69"/>
  <c r="F36" i="69"/>
  <c r="F35" i="69"/>
  <c r="F21" i="69"/>
  <c r="F20" i="69"/>
  <c r="F39" i="69" s="1"/>
  <c r="E10" i="69"/>
  <c r="E9" i="69"/>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B2" i="1"/>
  <c r="E15" i="4"/>
  <c r="A7" i="1"/>
  <c r="B7" i="1" s="1"/>
  <c r="E7" i="1" s="1"/>
  <c r="A8" i="1"/>
  <c r="B8" i="1" s="1"/>
  <c r="E8" i="1" s="1"/>
  <c r="A9" i="1"/>
  <c r="A10" i="1"/>
  <c r="A11" i="1"/>
  <c r="B11" i="1" s="1"/>
  <c r="E11" i="1" s="1"/>
  <c r="A12" i="1"/>
  <c r="A13" i="1"/>
  <c r="A6" i="1"/>
  <c r="K1" i="12" s="1"/>
  <c r="G79" i="36"/>
  <c r="G85" i="35"/>
  <c r="G97" i="37"/>
  <c r="G110" i="34"/>
  <c r="G111" i="21"/>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W28" i="36"/>
  <c r="U31" i="36"/>
  <c r="J33" i="36"/>
  <c r="AC33" i="36" s="1"/>
  <c r="H22" i="35"/>
  <c r="AB22" i="35" s="1"/>
  <c r="AC27" i="35"/>
  <c r="W28" i="35"/>
  <c r="S31" i="35"/>
  <c r="F36" i="34"/>
  <c r="AA36" i="34" s="1"/>
  <c r="J35" i="34"/>
  <c r="AC35" i="34" s="1"/>
  <c r="H39" i="33"/>
  <c r="AB39" i="33" s="1"/>
  <c r="F26" i="33"/>
  <c r="AA26" i="33"/>
  <c r="S40" i="33"/>
  <c r="W33" i="33"/>
  <c r="W39" i="33"/>
  <c r="H39" i="37"/>
  <c r="AB39" i="37"/>
  <c r="F11" i="40"/>
  <c r="AA11" i="40" s="1"/>
  <c r="H11" i="40"/>
  <c r="AB11" i="40" s="1"/>
  <c r="AA9" i="40"/>
  <c r="U9" i="40"/>
  <c r="U34" i="40"/>
  <c r="F42" i="39"/>
  <c r="AA42" i="39" s="1"/>
  <c r="F41" i="39"/>
  <c r="S41" i="39" s="1"/>
  <c r="H40" i="39"/>
  <c r="AB40" i="39" s="1"/>
  <c r="H39" i="39"/>
  <c r="U39" i="39" s="1"/>
  <c r="S38"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H23" i="34"/>
  <c r="J23" i="34"/>
  <c r="AC23" i="34" s="1"/>
  <c r="F19" i="34"/>
  <c r="AA19" i="34" s="1"/>
  <c r="H17" i="34"/>
  <c r="F15" i="34"/>
  <c r="AA15" i="34" s="1"/>
  <c r="J15" i="34"/>
  <c r="W15" i="34" s="1"/>
  <c r="H15" i="34"/>
  <c r="AB15" i="34" s="1"/>
  <c r="F41" i="33"/>
  <c r="S38" i="33"/>
  <c r="E113" i="33"/>
  <c r="F113" i="33" s="1"/>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C43" i="34" s="1"/>
  <c r="AB42" i="34"/>
  <c r="J40" i="34"/>
  <c r="AC40" i="34" s="1"/>
  <c r="H38" i="34"/>
  <c r="AB38" i="34" s="1"/>
  <c r="J36" i="34"/>
  <c r="W36" i="34" s="1"/>
  <c r="H37" i="34"/>
  <c r="U37" i="34" s="1"/>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S42" i="34"/>
  <c r="J37" i="34"/>
  <c r="AC37" i="34" s="1"/>
  <c r="J11" i="33"/>
  <c r="W11" i="33" s="1"/>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AA27" i="33"/>
  <c r="J13" i="33"/>
  <c r="H13" i="33"/>
  <c r="U13" i="33" s="1"/>
  <c r="F13" i="33"/>
  <c r="S13" i="33"/>
  <c r="J29" i="33"/>
  <c r="H29" i="33"/>
  <c r="U29" i="33"/>
  <c r="F29" i="33"/>
  <c r="S29" i="33" s="1"/>
  <c r="J31" i="33"/>
  <c r="H31" i="33"/>
  <c r="F31" i="33"/>
  <c r="H45" i="33"/>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s="1"/>
  <c r="J13" i="40"/>
  <c r="W13" i="40" s="1"/>
  <c r="F13" i="40"/>
  <c r="AA13" i="40"/>
  <c r="F14" i="37"/>
  <c r="S14" i="37" s="1"/>
  <c r="F27" i="37"/>
  <c r="AA27" i="37"/>
  <c r="F13" i="39"/>
  <c r="J13" i="39"/>
  <c r="W13" i="39" s="1"/>
  <c r="H13" i="39"/>
  <c r="H14" i="40"/>
  <c r="U14" i="40" s="1"/>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54" i="3"/>
  <c r="BL546" i="3"/>
  <c r="BL542" i="3"/>
  <c r="BL538" i="3"/>
  <c r="BL530" i="3"/>
  <c r="BL526" i="3"/>
  <c r="BL522" i="3"/>
  <c r="BL512" i="3"/>
  <c r="BL506" i="3"/>
  <c r="BL502" i="3"/>
  <c r="BL494" i="3"/>
  <c r="BL582" i="3"/>
  <c r="BL578" i="3"/>
  <c r="BL574" i="3"/>
  <c r="BL570" i="3"/>
  <c r="BL566" i="3"/>
  <c r="BL562" i="3"/>
  <c r="BL556" i="3"/>
  <c r="BL552" i="3"/>
  <c r="AZ552" i="3" s="1"/>
  <c r="BL544" i="3"/>
  <c r="BL540" i="3"/>
  <c r="G533" i="3"/>
  <c r="BL532" i="3"/>
  <c r="G529" i="3"/>
  <c r="G525" i="3"/>
  <c r="BL524" i="3"/>
  <c r="BL518" i="3"/>
  <c r="BL510" i="3"/>
  <c r="BL504" i="3"/>
  <c r="BL500" i="3"/>
  <c r="G493" i="3"/>
  <c r="BA584" i="3"/>
  <c r="BA582" i="3"/>
  <c r="BA580" i="3"/>
  <c r="BA578" i="3"/>
  <c r="BA576" i="3"/>
  <c r="AZ576" i="3" s="1"/>
  <c r="BA574" i="3"/>
  <c r="AZ574" i="3" s="1"/>
  <c r="BA572" i="3"/>
  <c r="AZ572" i="3" s="1"/>
  <c r="BA570" i="3"/>
  <c r="AZ570" i="3" s="1"/>
  <c r="BA568" i="3"/>
  <c r="BA566" i="3"/>
  <c r="BA564" i="3"/>
  <c r="BA562" i="3"/>
  <c r="BA560" i="3"/>
  <c r="BA558" i="3"/>
  <c r="BA556" i="3"/>
  <c r="AZ556" i="3"/>
  <c r="BA554" i="3"/>
  <c r="AZ554" i="3" s="1"/>
  <c r="BA552" i="3"/>
  <c r="BA548" i="3"/>
  <c r="BA544" i="3"/>
  <c r="AZ544" i="3" s="1"/>
  <c r="BA542" i="3"/>
  <c r="BA540" i="3"/>
  <c r="BA538" i="3"/>
  <c r="AZ538" i="3" s="1"/>
  <c r="BA534" i="3"/>
  <c r="BA530" i="3"/>
  <c r="BA528" i="3"/>
  <c r="BA524" i="3"/>
  <c r="BA522" i="3"/>
  <c r="BA520" i="3"/>
  <c r="BA516" i="3"/>
  <c r="BA514" i="3"/>
  <c r="BA512" i="3"/>
  <c r="BA510" i="3"/>
  <c r="AZ510" i="3"/>
  <c r="BA508" i="3"/>
  <c r="BA504" i="3"/>
  <c r="AZ504" i="3"/>
  <c r="BA502" i="3"/>
  <c r="BA498" i="3"/>
  <c r="BA496" i="3"/>
  <c r="BA587" i="3"/>
  <c r="BA583" i="3"/>
  <c r="BA581" i="3"/>
  <c r="BA579" i="3"/>
  <c r="BA577" i="3"/>
  <c r="BA575" i="3"/>
  <c r="BA573" i="3"/>
  <c r="BA571" i="3"/>
  <c r="AZ571" i="3" s="1"/>
  <c r="BA569" i="3"/>
  <c r="BA567" i="3"/>
  <c r="BA565" i="3"/>
  <c r="BA563" i="3"/>
  <c r="BA561" i="3"/>
  <c r="BA559" i="3"/>
  <c r="BA555" i="3"/>
  <c r="BA553" i="3"/>
  <c r="AZ553" i="3" s="1"/>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5" i="3"/>
  <c r="G543" i="3"/>
  <c r="G541" i="3"/>
  <c r="G537" i="3"/>
  <c r="BQ555" i="3"/>
  <c r="BL555" i="3"/>
  <c r="BQ553" i="3"/>
  <c r="BL553" i="3" s="1"/>
  <c r="BQ551" i="3"/>
  <c r="BL551" i="3"/>
  <c r="BQ549" i="3"/>
  <c r="BQ547" i="3"/>
  <c r="BL547" i="3" s="1"/>
  <c r="AZ547" i="3" s="1"/>
  <c r="BQ545" i="3"/>
  <c r="BL545" i="3"/>
  <c r="BQ543" i="3"/>
  <c r="BQ541" i="3"/>
  <c r="BL541" i="3"/>
  <c r="BQ539" i="3"/>
  <c r="BQ537" i="3"/>
  <c r="BL537" i="3" s="1"/>
  <c r="BQ535" i="3"/>
  <c r="BL535" i="3" s="1"/>
  <c r="AZ535" i="3" s="1"/>
  <c r="BQ533" i="3"/>
  <c r="BL533" i="3"/>
  <c r="BQ531" i="3"/>
  <c r="BL531" i="3" s="1"/>
  <c r="BQ529" i="3"/>
  <c r="BQ527" i="3"/>
  <c r="BL527" i="3" s="1"/>
  <c r="AZ527" i="3" s="1"/>
  <c r="BQ525" i="3"/>
  <c r="BQ523" i="3"/>
  <c r="BL523" i="3" s="1"/>
  <c r="AZ523" i="3" s="1"/>
  <c r="BA521" i="3"/>
  <c r="AC521" i="3"/>
  <c r="G521" i="3" s="1"/>
  <c r="BQ521" i="3"/>
  <c r="BL521" i="3"/>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AZ503" i="3"/>
  <c r="BQ501" i="3"/>
  <c r="BQ499" i="3"/>
  <c r="BL499" i="3" s="1"/>
  <c r="AZ499" i="3" s="1"/>
  <c r="BQ497" i="3"/>
  <c r="BQ495" i="3"/>
  <c r="BL495" i="3" s="1"/>
  <c r="BQ493" i="3"/>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U39" i="37"/>
  <c r="U26" i="37"/>
  <c r="W47"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AZ171" i="3"/>
  <c r="BL172" i="3"/>
  <c r="G173" i="3"/>
  <c r="BA175" i="3"/>
  <c r="AZ175" i="3"/>
  <c r="BL176" i="3"/>
  <c r="G177" i="3"/>
  <c r="BA179" i="3"/>
  <c r="BL180" i="3"/>
  <c r="AZ180" i="3" s="1"/>
  <c r="G181" i="3"/>
  <c r="BA183" i="3"/>
  <c r="BL184" i="3"/>
  <c r="G185" i="3"/>
  <c r="BA187" i="3"/>
  <c r="BL188" i="3"/>
  <c r="G189" i="3"/>
  <c r="BA191" i="3"/>
  <c r="AZ191" i="3" s="1"/>
  <c r="BL192" i="3"/>
  <c r="G193" i="3"/>
  <c r="BA195" i="3"/>
  <c r="BL196" i="3"/>
  <c r="G197" i="3"/>
  <c r="BA199" i="3"/>
  <c r="AZ199" i="3" s="1"/>
  <c r="BL200" i="3"/>
  <c r="AZ200" i="3" s="1"/>
  <c r="G201" i="3"/>
  <c r="BA203" i="3"/>
  <c r="BL204" i="3"/>
  <c r="AZ47" i="3"/>
  <c r="AZ67" i="3"/>
  <c r="AZ168" i="3"/>
  <c r="AZ97"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BA379" i="3"/>
  <c r="BL380" i="3"/>
  <c r="G381" i="3"/>
  <c r="BA383" i="3"/>
  <c r="AZ383" i="3" s="1"/>
  <c r="BL384" i="3"/>
  <c r="G385" i="3"/>
  <c r="BA387" i="3"/>
  <c r="BL388" i="3"/>
  <c r="G389" i="3"/>
  <c r="BA391" i="3"/>
  <c r="AZ391" i="3" s="1"/>
  <c r="BL392" i="3"/>
  <c r="G393" i="3"/>
  <c r="AZ283" i="3"/>
  <c r="BO5" i="3"/>
  <c r="BM5" i="3"/>
  <c r="BH5" i="3"/>
  <c r="BF5" i="3"/>
  <c r="BD5" i="3"/>
  <c r="AC5" i="3"/>
  <c r="G548" i="3"/>
  <c r="G538" i="3"/>
  <c r="G520" i="3"/>
  <c r="BS5" i="3"/>
  <c r="BP5" i="3"/>
  <c r="BN5" i="3"/>
  <c r="G29" i="6" s="1"/>
  <c r="BI5" i="3"/>
  <c r="BG5" i="3"/>
  <c r="BE5" i="3"/>
  <c r="BC5" i="3"/>
  <c r="G17" i="3"/>
  <c r="BA17" i="3"/>
  <c r="AZ17" i="3" s="1"/>
  <c r="BT5" i="3"/>
  <c r="AZ350" i="3"/>
  <c r="AZ356" i="3"/>
  <c r="BA15" i="3"/>
  <c r="BR5" i="3"/>
  <c r="AZ380" i="3"/>
  <c r="AZ392" i="3"/>
  <c r="G509" i="3"/>
  <c r="BL493" i="3"/>
  <c r="U36" i="40"/>
  <c r="F83" i="43"/>
  <c r="H85" i="43" s="1"/>
  <c r="F50" i="43"/>
  <c r="H54" i="43" s="1"/>
  <c r="F72" i="43"/>
  <c r="H75" i="43" s="1"/>
  <c r="U17" i="39"/>
  <c r="S14" i="35"/>
  <c r="U43" i="21"/>
  <c r="U35" i="21"/>
  <c r="AC35" i="21"/>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AZ386" i="3"/>
  <c r="AZ227" i="3"/>
  <c r="AZ235" i="3"/>
  <c r="AZ256" i="3"/>
  <c r="AZ280" i="3"/>
  <c r="AZ72" i="3"/>
  <c r="AZ82" i="3"/>
  <c r="F23" i="39"/>
  <c r="AA23" i="39" s="1"/>
  <c r="H27" i="36"/>
  <c r="U27" i="36" s="1"/>
  <c r="F27" i="36"/>
  <c r="AA27" i="36" s="1"/>
  <c r="H33" i="34"/>
  <c r="U33" i="34" s="1"/>
  <c r="F32" i="37"/>
  <c r="S32" i="37" s="1"/>
  <c r="F20" i="36"/>
  <c r="J33" i="34"/>
  <c r="AC33" i="34" s="1"/>
  <c r="H23" i="39"/>
  <c r="U23" i="39" s="1"/>
  <c r="K9" i="1"/>
  <c r="M9" i="1" s="1"/>
  <c r="D93" i="9"/>
  <c r="AC26" i="33"/>
  <c r="W26" i="33"/>
  <c r="AB34" i="36"/>
  <c r="U34" i="36"/>
  <c r="AB33" i="36"/>
  <c r="U33" i="36"/>
  <c r="AC12" i="39"/>
  <c r="W12" i="39"/>
  <c r="AZ433" i="3"/>
  <c r="AZ586" i="3"/>
  <c r="W12" i="33"/>
  <c r="AC12" i="33"/>
  <c r="AA32" i="36"/>
  <c r="S32" i="36"/>
  <c r="AZ437" i="3"/>
  <c r="AZ473" i="3"/>
  <c r="BL14" i="3"/>
  <c r="U30" i="33"/>
  <c r="AC13" i="34"/>
  <c r="AA47" i="34"/>
  <c r="W28" i="37"/>
  <c r="S19" i="39"/>
  <c r="F12" i="33"/>
  <c r="H12" i="39"/>
  <c r="F39" i="40"/>
  <c r="BA14" i="3"/>
  <c r="AZ14" i="3" s="1"/>
  <c r="AZ367" i="3"/>
  <c r="AZ254" i="3"/>
  <c r="B12" i="1"/>
  <c r="E12" i="1" s="1"/>
  <c r="B10" i="1"/>
  <c r="E10" i="1" s="1"/>
  <c r="K12" i="1"/>
  <c r="M12" i="1" s="1"/>
  <c r="S13" i="1"/>
  <c r="AR13" i="1" s="1"/>
  <c r="R13" i="1"/>
  <c r="J51" i="67"/>
  <c r="C42" i="1"/>
  <c r="C24" i="12" s="1"/>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S33" i="36"/>
  <c r="AA26" i="36"/>
  <c r="AA34" i="36"/>
  <c r="AC26" i="36"/>
  <c r="AA22" i="36"/>
  <c r="W14" i="36"/>
  <c r="AB14" i="36"/>
  <c r="U22" i="36"/>
  <c r="S16" i="36"/>
  <c r="AA25" i="36"/>
  <c r="S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B41"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BL13" i="3"/>
  <c r="J56" i="9"/>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C45" i="34"/>
  <c r="AA31" i="34"/>
  <c r="AA30" i="34"/>
  <c r="AB45" i="34"/>
  <c r="AB47" i="34"/>
  <c r="AB36" i="34"/>
  <c r="AC14" i="34"/>
  <c r="AC32" i="34"/>
  <c r="AC29" i="34"/>
  <c r="W29" i="34"/>
  <c r="W46" i="34"/>
  <c r="AC46" i="34"/>
  <c r="S32" i="34"/>
  <c r="AA32" i="34"/>
  <c r="U30" i="34"/>
  <c r="AB30" i="34"/>
  <c r="S37" i="34"/>
  <c r="S46" i="34"/>
  <c r="AA46"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11"/>
  <c r="C48" i="11" s="1"/>
  <c r="F28" i="67"/>
  <c r="F31" i="12"/>
  <c r="M18" i="67"/>
  <c r="F32" i="67"/>
  <c r="F60" i="67" s="1"/>
  <c r="F30" i="69"/>
  <c r="F48" i="69" s="1"/>
  <c r="M18" i="15"/>
  <c r="F28" i="15"/>
  <c r="AA39" i="40"/>
  <c r="S39" i="40"/>
  <c r="S12" i="33"/>
  <c r="AA12" i="33"/>
  <c r="D68" i="9"/>
  <c r="J32" i="39"/>
  <c r="H32" i="39"/>
  <c r="AB32" i="39" s="1"/>
  <c r="AA32" i="39"/>
  <c r="S32" i="39"/>
  <c r="AB21" i="39"/>
  <c r="U21" i="39"/>
  <c r="AA21" i="39"/>
  <c r="AC17" i="37"/>
  <c r="S17" i="37"/>
  <c r="J19" i="37"/>
  <c r="W19" i="37" s="1"/>
  <c r="AA19" i="37"/>
  <c r="AA23" i="37"/>
  <c r="J23" i="37"/>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S37" i="21"/>
  <c r="AA23" i="21"/>
  <c r="AB15" i="21"/>
  <c r="J23" i="21"/>
  <c r="W23" i="21" s="1"/>
  <c r="F85" i="21"/>
  <c r="G85" i="21" s="1"/>
  <c r="H23" i="21"/>
  <c r="U23" i="21" s="1"/>
  <c r="S13" i="21"/>
  <c r="D6" i="52"/>
  <c r="AP7" i="1"/>
  <c r="AB45" i="21"/>
  <c r="AB9" i="21"/>
  <c r="S32" i="21"/>
  <c r="W9" i="21"/>
  <c r="AC9" i="21"/>
  <c r="U32" i="21"/>
  <c r="AC32" i="39"/>
  <c r="W32" i="39"/>
  <c r="W23" i="37"/>
  <c r="AC23" i="37"/>
  <c r="J11" i="37"/>
  <c r="AC11" i="37" s="1"/>
  <c r="H70" i="34"/>
  <c r="I70" i="34" s="1"/>
  <c r="J70" i="34" s="1"/>
  <c r="K70" i="34" s="1"/>
  <c r="L70" i="34" s="1"/>
  <c r="M70" i="34" s="1"/>
  <c r="J11" i="34"/>
  <c r="W11" i="34" s="1"/>
  <c r="AB36" i="33"/>
  <c r="W27" i="33"/>
  <c r="AC27" i="33"/>
  <c r="W25" i="33"/>
  <c r="AC25" i="33"/>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8" i="76"/>
  <c r="F4" i="73"/>
  <c r="E10" i="76"/>
  <c r="E9" i="76"/>
  <c r="E7" i="76"/>
  <c r="B7" i="76"/>
  <c r="E2" i="69"/>
  <c r="B12" i="76"/>
  <c r="B10" i="76"/>
  <c r="AO13" i="1"/>
  <c r="E2" i="68"/>
  <c r="E12" i="76"/>
  <c r="F7" i="73"/>
  <c r="E11" i="76"/>
  <c r="D6" i="73"/>
  <c r="F3" i="73"/>
  <c r="E13" i="76"/>
  <c r="F5" i="73"/>
  <c r="B11" i="76"/>
  <c r="B8" i="76"/>
  <c r="B13" i="76"/>
  <c r="B9" i="76"/>
  <c r="D22" i="15" l="1"/>
  <c r="D23" i="15"/>
  <c r="C34" i="34"/>
  <c r="D33" i="43"/>
  <c r="D1" i="43" s="1"/>
  <c r="J57" i="9"/>
  <c r="J59" i="9" s="1"/>
  <c r="J61" i="9" s="1"/>
  <c r="W44" i="34"/>
  <c r="AC38" i="34"/>
  <c r="S44" i="34"/>
  <c r="W41" i="34"/>
  <c r="W40" i="34"/>
  <c r="AA38" i="34"/>
  <c r="AB35" i="34"/>
  <c r="W33" i="34"/>
  <c r="U27" i="34"/>
  <c r="J25" i="34"/>
  <c r="H25" i="34"/>
  <c r="AB25" i="34" s="1"/>
  <c r="F25" i="34"/>
  <c r="S25" i="34" s="1"/>
  <c r="W23" i="34"/>
  <c r="S21" i="34"/>
  <c r="AA25" i="34"/>
  <c r="U25" i="34"/>
  <c r="S23" i="34"/>
  <c r="S19" i="34"/>
  <c r="W19" i="34"/>
  <c r="S17" i="34"/>
  <c r="AC17" i="34"/>
  <c r="U15" i="34"/>
  <c r="AC15" i="34"/>
  <c r="W9" i="34"/>
  <c r="U9" i="34"/>
  <c r="W43" i="34"/>
  <c r="S43" i="34"/>
  <c r="U43" i="34"/>
  <c r="AB40" i="34"/>
  <c r="AA40" i="34"/>
  <c r="U39" i="34"/>
  <c r="U38" i="34"/>
  <c r="S36" i="34"/>
  <c r="W35" i="34"/>
  <c r="AA33" i="34"/>
  <c r="AB33" i="34"/>
  <c r="AA8" i="34"/>
  <c r="W8" i="34"/>
  <c r="AB8" i="34"/>
  <c r="AC27" i="34"/>
  <c r="C40" i="11"/>
  <c r="A15" i="62"/>
  <c r="B61" i="72" s="1"/>
  <c r="K6" i="1"/>
  <c r="AP6" i="1" s="1"/>
  <c r="G1" i="68"/>
  <c r="G1" i="67"/>
  <c r="G1" i="15"/>
  <c r="B6" i="1"/>
  <c r="E6" i="1" s="1"/>
  <c r="BB5" i="3"/>
  <c r="BA16" i="3"/>
  <c r="AZ16" i="3" s="1"/>
  <c r="AB23" i="21"/>
  <c r="AB19" i="33"/>
  <c r="U32" i="39"/>
  <c r="S39" i="39"/>
  <c r="AA39" i="39"/>
  <c r="U34" i="33"/>
  <c r="AB34" i="33"/>
  <c r="F48" i="9"/>
  <c r="O52" i="9" s="1"/>
  <c r="F30" i="68"/>
  <c r="F48" i="68" s="1"/>
  <c r="F52" i="9"/>
  <c r="F32" i="15"/>
  <c r="F60" i="15" s="1"/>
  <c r="F54" i="9"/>
  <c r="W39" i="34"/>
  <c r="AC39" i="34"/>
  <c r="S34" i="33"/>
  <c r="AA34" i="33"/>
  <c r="U27" i="40"/>
  <c r="AB27" i="40"/>
  <c r="AA20" i="36"/>
  <c r="S20" i="36"/>
  <c r="S27" i="40"/>
  <c r="AA27" i="40"/>
  <c r="AZ563" i="3"/>
  <c r="AZ534" i="3"/>
  <c r="AA17" i="33"/>
  <c r="W17" i="21"/>
  <c r="AB12" i="39"/>
  <c r="U12" i="39"/>
  <c r="AA32" i="37"/>
  <c r="AA36" i="35"/>
  <c r="AA12" i="39"/>
  <c r="F29" i="6"/>
  <c r="AZ372" i="3"/>
  <c r="AZ304" i="3"/>
  <c r="AZ394" i="3"/>
  <c r="AZ325" i="3"/>
  <c r="AC12" i="37"/>
  <c r="AC36" i="34"/>
  <c r="AZ531" i="3"/>
  <c r="AZ577" i="3"/>
  <c r="AZ513" i="3"/>
  <c r="AZ575" i="3"/>
  <c r="AZ512" i="3"/>
  <c r="AZ522" i="3"/>
  <c r="AZ558" i="3"/>
  <c r="AZ566" i="3"/>
  <c r="AZ582" i="3"/>
  <c r="AZ540" i="3"/>
  <c r="AA14" i="37"/>
  <c r="U12" i="35"/>
  <c r="AB12" i="35"/>
  <c r="W31" i="35"/>
  <c r="AC31" i="35"/>
  <c r="AC20" i="36"/>
  <c r="S15" i="39"/>
  <c r="AC34" i="33"/>
  <c r="AC11" i="39"/>
  <c r="AZ379" i="3"/>
  <c r="AZ355" i="3"/>
  <c r="AZ327" i="3"/>
  <c r="AZ533" i="3"/>
  <c r="AZ524" i="3"/>
  <c r="AZ568" i="3"/>
  <c r="AZ584" i="3"/>
  <c r="W31" i="33"/>
  <c r="AC31" i="33"/>
  <c r="W31" i="40"/>
  <c r="F28" i="34"/>
  <c r="J28" i="34"/>
  <c r="J23" i="35"/>
  <c r="H23" i="35"/>
  <c r="F23" i="35"/>
  <c r="AB34" i="35"/>
  <c r="U34" i="35"/>
  <c r="AA27" i="35"/>
  <c r="S27" i="35"/>
  <c r="AA40" i="39"/>
  <c r="S40" i="39"/>
  <c r="AA34" i="39"/>
  <c r="S34" i="39"/>
  <c r="AZ579" i="3"/>
  <c r="AZ516" i="3"/>
  <c r="AZ528" i="3"/>
  <c r="U33" i="40"/>
  <c r="AB33" i="40"/>
  <c r="AA11" i="36"/>
  <c r="S11" i="36"/>
  <c r="U45" i="33"/>
  <c r="AB45" i="33"/>
  <c r="BL587" i="3"/>
  <c r="AZ587" i="3" s="1"/>
  <c r="BA585" i="3"/>
  <c r="J45" i="21"/>
  <c r="F45" i="21"/>
  <c r="AZ337" i="3"/>
  <c r="AZ306" i="3"/>
  <c r="AZ521" i="3"/>
  <c r="AZ541" i="3"/>
  <c r="AZ520" i="3"/>
  <c r="AZ542" i="3"/>
  <c r="AZ502" i="3"/>
  <c r="S29" i="35"/>
  <c r="AA29" i="35"/>
  <c r="BA546" i="3"/>
  <c r="AZ546" i="3" s="1"/>
  <c r="BA545" i="3"/>
  <c r="BA537" i="3"/>
  <c r="AZ537" i="3" s="1"/>
  <c r="BL536" i="3"/>
  <c r="BA536" i="3"/>
  <c r="AZ536" i="3" s="1"/>
  <c r="BL534" i="3"/>
  <c r="BA532" i="3"/>
  <c r="AZ532" i="3" s="1"/>
  <c r="BL529" i="3"/>
  <c r="BA529" i="3"/>
  <c r="AZ529" i="3" s="1"/>
  <c r="BL528" i="3"/>
  <c r="BA526" i="3"/>
  <c r="AZ526" i="3" s="1"/>
  <c r="BL525" i="3"/>
  <c r="AZ525" i="3" s="1"/>
  <c r="BA519" i="3"/>
  <c r="AZ519" i="3" s="1"/>
  <c r="BA518" i="3"/>
  <c r="AZ518" i="3" s="1"/>
  <c r="BL517" i="3"/>
  <c r="BL516" i="3"/>
  <c r="BL514" i="3"/>
  <c r="AZ514" i="3" s="1"/>
  <c r="BA511" i="3"/>
  <c r="BL509" i="3"/>
  <c r="AZ509" i="3" s="1"/>
  <c r="BA506" i="3"/>
  <c r="AZ506" i="3" s="1"/>
  <c r="BL505" i="3"/>
  <c r="AZ505" i="3" s="1"/>
  <c r="BL501" i="3"/>
  <c r="BA501" i="3"/>
  <c r="AZ501" i="3" s="1"/>
  <c r="BA500" i="3"/>
  <c r="AZ500" i="3" s="1"/>
  <c r="BL498" i="3"/>
  <c r="AZ498" i="3" s="1"/>
  <c r="BK5" i="3"/>
  <c r="E12" i="6" s="1"/>
  <c r="E57" i="40" s="1"/>
  <c r="BL497" i="3"/>
  <c r="AZ497" i="3" s="1"/>
  <c r="BL496" i="3"/>
  <c r="AZ496" i="3" s="1"/>
  <c r="BJ5" i="3"/>
  <c r="BA494" i="3"/>
  <c r="AZ494" i="3" s="1"/>
  <c r="BA493" i="3"/>
  <c r="AZ493" i="3" s="1"/>
  <c r="AZ387" i="3"/>
  <c r="AZ362" i="3"/>
  <c r="AZ338" i="3"/>
  <c r="AZ390" i="3"/>
  <c r="AZ371" i="3"/>
  <c r="AZ351" i="3"/>
  <c r="AZ336" i="3"/>
  <c r="AZ305" i="3"/>
  <c r="AZ360" i="3"/>
  <c r="BL511" i="3"/>
  <c r="AZ511" i="3" s="1"/>
  <c r="BL539" i="3"/>
  <c r="AZ539" i="3" s="1"/>
  <c r="BL543" i="3"/>
  <c r="AZ543" i="3" s="1"/>
  <c r="AZ564" i="3"/>
  <c r="AZ580" i="3"/>
  <c r="U23" i="34"/>
  <c r="AB23" i="34"/>
  <c r="W31" i="37"/>
  <c r="G587" i="3"/>
  <c r="B101" i="43"/>
  <c r="B79" i="43"/>
  <c r="W41" i="33"/>
  <c r="AA35" i="34"/>
  <c r="S35" i="34"/>
  <c r="AB31" i="35"/>
  <c r="J9" i="36"/>
  <c r="F38" i="40"/>
  <c r="H38" i="40"/>
  <c r="G556" i="3"/>
  <c r="AZ400" i="3"/>
  <c r="U17" i="34"/>
  <c r="AB17" i="34"/>
  <c r="AC40" i="33"/>
  <c r="W40" i="33"/>
  <c r="AC22" i="35"/>
  <c r="W22" i="35"/>
  <c r="H23" i="36"/>
  <c r="J23" i="36"/>
  <c r="AC8" i="40"/>
  <c r="W8" i="40"/>
  <c r="J39" i="40"/>
  <c r="H39" i="40"/>
  <c r="AA41" i="33"/>
  <c r="S41" i="33"/>
  <c r="AB33" i="33"/>
  <c r="U33" i="33"/>
  <c r="J9" i="33"/>
  <c r="H9" i="33"/>
  <c r="H45" i="39"/>
  <c r="J45" i="39"/>
  <c r="W45" i="39" s="1"/>
  <c r="BA551" i="3"/>
  <c r="AZ551" i="3" s="1"/>
  <c r="BA550" i="3"/>
  <c r="BL548" i="3"/>
  <c r="AZ548" i="3" s="1"/>
  <c r="AZ407" i="3"/>
  <c r="AZ419" i="3"/>
  <c r="AZ451" i="3"/>
  <c r="AZ458" i="3"/>
  <c r="AZ462" i="3"/>
  <c r="AZ469" i="3"/>
  <c r="G399" i="3"/>
  <c r="BL400" i="3"/>
  <c r="BL408" i="3"/>
  <c r="BL411" i="3"/>
  <c r="BL413" i="3"/>
  <c r="AZ413" i="3" s="1"/>
  <c r="G416" i="3"/>
  <c r="BL417" i="3"/>
  <c r="BL418" i="3"/>
  <c r="BL431" i="3"/>
  <c r="BL434" i="3"/>
  <c r="G437" i="3"/>
  <c r="BL438" i="3"/>
  <c r="BL439" i="3"/>
  <c r="BA442" i="3"/>
  <c r="BL449" i="3"/>
  <c r="BL450" i="3"/>
  <c r="BL453" i="3"/>
  <c r="BL454" i="3"/>
  <c r="BL467" i="3"/>
  <c r="BL468" i="3"/>
  <c r="BL471" i="3"/>
  <c r="BL475" i="3"/>
  <c r="BA477" i="3"/>
  <c r="BA478" i="3"/>
  <c r="BA488" i="3"/>
  <c r="AZ488" i="3" s="1"/>
  <c r="U35" i="33"/>
  <c r="BL585" i="3"/>
  <c r="B75" i="43"/>
  <c r="H24" i="36"/>
  <c r="G558" i="3"/>
  <c r="BL398" i="3"/>
  <c r="G402" i="3"/>
  <c r="BL403" i="3"/>
  <c r="AZ403" i="3" s="1"/>
  <c r="G406" i="3"/>
  <c r="BA408" i="3"/>
  <c r="AZ408" i="3" s="1"/>
  <c r="BA409" i="3"/>
  <c r="AZ409" i="3" s="1"/>
  <c r="BA411" i="3"/>
  <c r="AZ411" i="3" s="1"/>
  <c r="BL414" i="3"/>
  <c r="BL415" i="3"/>
  <c r="BA420" i="3"/>
  <c r="BA421" i="3"/>
  <c r="BA423" i="3"/>
  <c r="AZ423" i="3" s="1"/>
  <c r="G430" i="3"/>
  <c r="BL432" i="3"/>
  <c r="BL435" i="3"/>
  <c r="AZ435" i="3" s="1"/>
  <c r="BL436" i="3"/>
  <c r="BA439" i="3"/>
  <c r="BA440" i="3"/>
  <c r="AZ440" i="3" s="1"/>
  <c r="BA443" i="3"/>
  <c r="AZ443" i="3" s="1"/>
  <c r="BL445" i="3"/>
  <c r="BL446" i="3"/>
  <c r="BA449" i="3"/>
  <c r="BL455" i="3"/>
  <c r="BA457" i="3"/>
  <c r="BA459" i="3"/>
  <c r="AZ459" i="3" s="1"/>
  <c r="BA460" i="3"/>
  <c r="BA461" i="3"/>
  <c r="BA464" i="3"/>
  <c r="AZ464" i="3" s="1"/>
  <c r="BA467" i="3"/>
  <c r="BA468" i="3"/>
  <c r="BL479" i="3"/>
  <c r="BA491" i="3"/>
  <c r="BL316" i="3"/>
  <c r="BL324" i="3"/>
  <c r="AZ324" i="3" s="1"/>
  <c r="BL328" i="3"/>
  <c r="AZ328" i="3" s="1"/>
  <c r="BA335" i="3"/>
  <c r="AZ335" i="3" s="1"/>
  <c r="BL550" i="3"/>
  <c r="BL15" i="3"/>
  <c r="AZ15" i="3" s="1"/>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2" i="3"/>
  <c r="BL424" i="3"/>
  <c r="G427" i="3"/>
  <c r="BL428" i="3"/>
  <c r="BL429" i="3"/>
  <c r="G441" i="3"/>
  <c r="BL441" i="3"/>
  <c r="AZ441" i="3" s="1"/>
  <c r="BL442" i="3"/>
  <c r="BA445" i="3"/>
  <c r="BA447" i="3"/>
  <c r="AZ447" i="3" s="1"/>
  <c r="BL451" i="3"/>
  <c r="BA454" i="3"/>
  <c r="AZ454" i="3" s="1"/>
  <c r="BL456" i="3"/>
  <c r="BA465" i="3"/>
  <c r="AZ465" i="3" s="1"/>
  <c r="BL469" i="3"/>
  <c r="BL476" i="3"/>
  <c r="AZ476" i="3" s="1"/>
  <c r="BL477" i="3"/>
  <c r="BL478" i="3"/>
  <c r="BA481" i="3"/>
  <c r="BA487" i="3"/>
  <c r="AZ487" i="3" s="1"/>
  <c r="BL340" i="3"/>
  <c r="AZ340" i="3" s="1"/>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92" i="3"/>
  <c r="BA294" i="3"/>
  <c r="BL295" i="3"/>
  <c r="BA298" i="3"/>
  <c r="AZ298" i="3" s="1"/>
  <c r="BL301" i="3"/>
  <c r="W21" i="33"/>
  <c r="AC21" i="33"/>
  <c r="AA18" i="36"/>
  <c r="S18" i="36"/>
  <c r="Y26" i="71"/>
  <c r="Z26" i="71" s="1"/>
  <c r="AA3" i="71"/>
  <c r="BL233" i="3"/>
  <c r="AZ233" i="3" s="1"/>
  <c r="BA249" i="3"/>
  <c r="AZ249" i="3" s="1"/>
  <c r="BL249" i="3"/>
  <c r="BA251" i="3"/>
  <c r="AZ251" i="3" s="1"/>
  <c r="BL251" i="3"/>
  <c r="BA253" i="3"/>
  <c r="BL260" i="3"/>
  <c r="G262" i="3"/>
  <c r="BL263" i="3"/>
  <c r="G264" i="3"/>
  <c r="BL270" i="3"/>
  <c r="BA272" i="3"/>
  <c r="AZ272" i="3" s="1"/>
  <c r="BL275" i="3"/>
  <c r="AZ275" i="3" s="1"/>
  <c r="G277" i="3"/>
  <c r="BL285" i="3"/>
  <c r="BL287" i="3"/>
  <c r="BA290" i="3"/>
  <c r="AZ301" i="3"/>
  <c r="BL113" i="3"/>
  <c r="BL115" i="3"/>
  <c r="AZ115" i="3" s="1"/>
  <c r="BA118" i="3"/>
  <c r="BL118" i="3"/>
  <c r="BA130" i="3"/>
  <c r="BL130" i="3"/>
  <c r="BL155" i="3"/>
  <c r="AZ155" i="3" s="1"/>
  <c r="BA169" i="3"/>
  <c r="AZ169" i="3" s="1"/>
  <c r="BA184" i="3"/>
  <c r="AZ184" i="3" s="1"/>
  <c r="BL187" i="3"/>
  <c r="AZ187" i="3" s="1"/>
  <c r="BL25" i="3"/>
  <c r="AZ25" i="3" s="1"/>
  <c r="BL27" i="3"/>
  <c r="BA28" i="3"/>
  <c r="AZ28" i="3" s="1"/>
  <c r="G38" i="3"/>
  <c r="BA38" i="3"/>
  <c r="AZ38" i="3" s="1"/>
  <c r="G47" i="3"/>
  <c r="BL48" i="3"/>
  <c r="BA55" i="3"/>
  <c r="AZ55" i="3" s="1"/>
  <c r="BL57" i="3"/>
  <c r="G62" i="3"/>
  <c r="BL62" i="3"/>
  <c r="BL63" i="3"/>
  <c r="G67" i="3"/>
  <c r="BL68" i="3"/>
  <c r="BA69" i="3"/>
  <c r="AZ69" i="3" s="1"/>
  <c r="AC21" i="21"/>
  <c r="W21" i="21"/>
  <c r="D56" i="71"/>
  <c r="T56" i="71"/>
  <c r="BA366" i="3"/>
  <c r="AZ366" i="3" s="1"/>
  <c r="BL375" i="3"/>
  <c r="AZ375" i="3" s="1"/>
  <c r="BL385" i="3"/>
  <c r="BA397" i="3"/>
  <c r="BL397" i="3"/>
  <c r="BA210" i="3"/>
  <c r="BL210" i="3"/>
  <c r="BL212" i="3"/>
  <c r="BL214" i="3"/>
  <c r="AZ214" i="3" s="1"/>
  <c r="BL225" i="3"/>
  <c r="BL226" i="3"/>
  <c r="BA239" i="3"/>
  <c r="BL239" i="3"/>
  <c r="BA241" i="3"/>
  <c r="BL241" i="3"/>
  <c r="BA244" i="3"/>
  <c r="BL244" i="3"/>
  <c r="BA246" i="3"/>
  <c r="AZ270" i="3"/>
  <c r="BA277" i="3"/>
  <c r="BL277" i="3"/>
  <c r="BA282" i="3"/>
  <c r="BL282" i="3"/>
  <c r="BA284" i="3"/>
  <c r="AZ284" i="3" s="1"/>
  <c r="BL290" i="3"/>
  <c r="BL291" i="3"/>
  <c r="AZ291" i="3" s="1"/>
  <c r="BL293" i="3"/>
  <c r="BL294" i="3"/>
  <c r="BA297" i="3"/>
  <c r="AZ297" i="3" s="1"/>
  <c r="BL297" i="3"/>
  <c r="BL300" i="3"/>
  <c r="BA302" i="3"/>
  <c r="AZ302" i="3" s="1"/>
  <c r="BA117" i="3"/>
  <c r="BL134" i="3"/>
  <c r="BL137" i="3"/>
  <c r="AZ137" i="3" s="1"/>
  <c r="BA144" i="3"/>
  <c r="AZ144" i="3" s="1"/>
  <c r="BA178" i="3"/>
  <c r="AZ178" i="3" s="1"/>
  <c r="BL207" i="3"/>
  <c r="BL18" i="3"/>
  <c r="BL19" i="3"/>
  <c r="BA20" i="3"/>
  <c r="AZ20" i="3" s="1"/>
  <c r="AZ62" i="3"/>
  <c r="AZ64" i="3"/>
  <c r="Y25" i="71"/>
  <c r="Z25" i="71" s="1"/>
  <c r="AA38" i="71"/>
  <c r="AA37" i="71"/>
  <c r="D44" i="71"/>
  <c r="T44" i="71"/>
  <c r="BA417" i="3"/>
  <c r="AZ417" i="3" s="1"/>
  <c r="BL421" i="3"/>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120" i="3"/>
  <c r="AZ120" i="3" s="1"/>
  <c r="BL123" i="3"/>
  <c r="AZ123" i="3" s="1"/>
  <c r="BA128" i="3"/>
  <c r="AZ128" i="3" s="1"/>
  <c r="BA149" i="3"/>
  <c r="BA153" i="3"/>
  <c r="G158" i="3"/>
  <c r="BL163" i="3"/>
  <c r="AZ163" i="3" s="1"/>
  <c r="BA164" i="3"/>
  <c r="AZ164" i="3" s="1"/>
  <c r="BA166" i="3"/>
  <c r="AZ166" i="3" s="1"/>
  <c r="G175" i="3"/>
  <c r="BA176" i="3"/>
  <c r="AZ176" i="3" s="1"/>
  <c r="BA188" i="3"/>
  <c r="AZ188" i="3" s="1"/>
  <c r="BL189" i="3"/>
  <c r="AZ189" i="3" s="1"/>
  <c r="BL190" i="3"/>
  <c r="BA192" i="3"/>
  <c r="AZ192" i="3" s="1"/>
  <c r="BL195" i="3"/>
  <c r="AZ195" i="3" s="1"/>
  <c r="BA196" i="3"/>
  <c r="AZ196" i="3" s="1"/>
  <c r="BA202" i="3"/>
  <c r="BA30" i="3"/>
  <c r="BA31" i="3"/>
  <c r="BA40" i="3"/>
  <c r="BA41" i="3"/>
  <c r="G51" i="3"/>
  <c r="BA52" i="3"/>
  <c r="AZ52" i="3" s="1"/>
  <c r="BL54" i="3"/>
  <c r="N65" i="71"/>
  <c r="N66" i="71"/>
  <c r="C52" i="71"/>
  <c r="D51" i="71"/>
  <c r="D34" i="71"/>
  <c r="C35" i="71"/>
  <c r="G72" i="3"/>
  <c r="BL73" i="3"/>
  <c r="BA74" i="3"/>
  <c r="AZ74" i="3" s="1"/>
  <c r="BA75" i="3"/>
  <c r="AZ75" i="3" s="1"/>
  <c r="G81" i="3"/>
  <c r="BL85" i="3"/>
  <c r="BA86" i="3"/>
  <c r="AZ86" i="3" s="1"/>
  <c r="BA87" i="3"/>
  <c r="BA89" i="3"/>
  <c r="BL92" i="3"/>
  <c r="BA104" i="3"/>
  <c r="G109" i="3"/>
  <c r="BL112" i="3"/>
  <c r="AB25" i="71"/>
  <c r="AB28" i="71"/>
  <c r="E39" i="71"/>
  <c r="E40" i="71" s="1"/>
  <c r="U40" i="71" s="1"/>
  <c r="AA34" i="71"/>
  <c r="Y35" i="71"/>
  <c r="Z35" i="71" s="1"/>
  <c r="X36" i="71"/>
  <c r="X35" i="71"/>
  <c r="AB37" i="71"/>
  <c r="F38" i="71"/>
  <c r="F39" i="71" s="1"/>
  <c r="F40" i="71" s="1"/>
  <c r="V40" i="71" s="1"/>
  <c r="C67" i="71"/>
  <c r="O68" i="71"/>
  <c r="T72" i="71"/>
  <c r="C71" i="71"/>
  <c r="T76" i="71"/>
  <c r="C75" i="71"/>
  <c r="D84" i="71"/>
  <c r="C83" i="71"/>
  <c r="C23" i="71"/>
  <c r="B22" i="71"/>
  <c r="B21" i="71" s="1"/>
  <c r="B20" i="71" s="1"/>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AZ59" i="3" s="1"/>
  <c r="BL60" i="3"/>
  <c r="BA61" i="3"/>
  <c r="AZ61" i="3" s="1"/>
  <c r="BA68" i="3"/>
  <c r="BA73" i="3"/>
  <c r="BA80" i="3"/>
  <c r="BL84" i="3"/>
  <c r="BL88" i="3"/>
  <c r="AZ88" i="3" s="1"/>
  <c r="BL90" i="3"/>
  <c r="G103" i="3"/>
  <c r="BA103" i="3"/>
  <c r="AZ103" i="3" s="1"/>
  <c r="F3" i="35"/>
  <c r="F40" i="69"/>
  <c r="C40" i="69"/>
  <c r="C32" i="71"/>
  <c r="P65" i="71"/>
  <c r="P66" i="71"/>
  <c r="AB27" i="71"/>
  <c r="C86" i="71"/>
  <c r="D86" i="71" s="1"/>
  <c r="D87" i="71"/>
  <c r="D68" i="71"/>
  <c r="B27" i="71"/>
  <c r="B26" i="71" s="1"/>
  <c r="S28" i="71"/>
  <c r="Y30" i="71"/>
  <c r="Z30" i="71" s="1"/>
  <c r="F34" i="71"/>
  <c r="F35" i="71" s="1"/>
  <c r="F36" i="71" s="1"/>
  <c r="V36" i="71" s="1"/>
  <c r="AB33" i="71"/>
  <c r="AB34" i="71"/>
  <c r="C47" i="71"/>
  <c r="D47" i="71" s="1"/>
  <c r="D46" i="71"/>
  <c r="S80" i="71"/>
  <c r="B79" i="71"/>
  <c r="B78" i="71" s="1"/>
  <c r="AB26" i="7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A92" i="3"/>
  <c r="G101" i="3"/>
  <c r="BA101" i="3"/>
  <c r="AZ101" i="3" s="1"/>
  <c r="G106" i="3"/>
  <c r="BL106" i="3"/>
  <c r="BA108" i="3"/>
  <c r="AZ108" i="3" s="1"/>
  <c r="BA110" i="3"/>
  <c r="AZ110" i="3" s="1"/>
  <c r="B13" i="1"/>
  <c r="E13" i="1" s="1"/>
  <c r="K13" i="1"/>
  <c r="M13" i="1" s="1"/>
  <c r="O13" i="1" s="1"/>
  <c r="P13" i="1" s="1"/>
  <c r="F40" i="68"/>
  <c r="C21" i="68"/>
  <c r="D72" i="71"/>
  <c r="T68" i="71"/>
  <c r="E28" i="71"/>
  <c r="AA27" i="71"/>
  <c r="D38" i="71"/>
  <c r="C39" i="71"/>
  <c r="X31" i="71"/>
  <c r="C28" i="71"/>
  <c r="Y28" i="71"/>
  <c r="Z28" i="71" s="1"/>
  <c r="X33" i="71"/>
  <c r="AB35" i="71"/>
  <c r="Y37" i="71"/>
  <c r="Z37" i="71" s="1"/>
  <c r="C63" i="71"/>
  <c r="T80" i="71"/>
  <c r="C79" i="71"/>
  <c r="X25" i="71"/>
  <c r="V24" i="71"/>
  <c r="E23" i="71"/>
  <c r="E22" i="71" s="1"/>
  <c r="E21" i="71" s="1"/>
  <c r="E20" i="71" s="1"/>
  <c r="V20" i="71" s="1"/>
  <c r="X28" i="71"/>
  <c r="X32" i="71"/>
  <c r="G88" i="3"/>
  <c r="BA90" i="3"/>
  <c r="BL94" i="3"/>
  <c r="AZ94" i="3" s="1"/>
  <c r="BA100" i="3"/>
  <c r="AZ100" i="3" s="1"/>
  <c r="BA102" i="3"/>
  <c r="AZ102" i="3" s="1"/>
  <c r="BL105" i="3"/>
  <c r="AZ105" i="3" s="1"/>
  <c r="G107" i="3"/>
  <c r="BL107" i="3"/>
  <c r="BA111" i="3"/>
  <c r="AZ111" i="3" s="1"/>
  <c r="AC21" i="37"/>
  <c r="U21" i="34"/>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6" i="1"/>
  <c r="C13" i="12" s="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7" i="67"/>
  <c r="M23" i="15"/>
  <c r="D3" i="73"/>
  <c r="F6" i="67"/>
  <c r="D5" i="73"/>
  <c r="L48" i="67"/>
  <c r="M24" i="67"/>
  <c r="F38" i="67"/>
  <c r="M8" i="67"/>
  <c r="F26" i="15"/>
  <c r="F9" i="67"/>
  <c r="L48" i="15"/>
  <c r="F40" i="15"/>
  <c r="M9" i="15"/>
  <c r="F9" i="15"/>
  <c r="F8" i="67"/>
  <c r="J15" i="67"/>
  <c r="F6" i="15"/>
  <c r="F13" i="15"/>
  <c r="M26" i="67"/>
  <c r="L47" i="15"/>
  <c r="F7" i="15"/>
  <c r="F37" i="15"/>
  <c r="D9" i="69"/>
  <c r="F37" i="67"/>
  <c r="M28" i="15"/>
  <c r="F8" i="15"/>
  <c r="F43" i="67"/>
  <c r="M8" i="15"/>
  <c r="M6" i="15"/>
  <c r="M24" i="15"/>
  <c r="F16" i="67"/>
  <c r="M26" i="15"/>
  <c r="D7" i="73"/>
  <c r="C76" i="15"/>
  <c r="C36" i="69"/>
  <c r="F36" i="67"/>
  <c r="L47" i="67"/>
  <c r="M22" i="67"/>
  <c r="M9" i="67"/>
  <c r="M29" i="15"/>
  <c r="M6" i="67"/>
  <c r="F40" i="67"/>
  <c r="F42" i="67"/>
  <c r="F42" i="15"/>
  <c r="F36" i="15"/>
  <c r="F38" i="15"/>
  <c r="J15" i="15"/>
  <c r="F26" i="67"/>
  <c r="C76" i="67"/>
  <c r="M23" i="67"/>
  <c r="F16" i="15"/>
  <c r="M22" i="15"/>
  <c r="M28" i="67"/>
  <c r="M29" i="67"/>
  <c r="D4" i="73"/>
  <c r="F13" i="67"/>
  <c r="F43" i="15"/>
  <c r="H34" i="34" l="1"/>
  <c r="F34" i="34"/>
  <c r="J34" i="34"/>
  <c r="E13" i="6"/>
  <c r="E59" i="40"/>
  <c r="AC25" i="34"/>
  <c r="W25" i="34"/>
  <c r="N370" i="46"/>
  <c r="J26" i="43"/>
  <c r="F26" i="43"/>
  <c r="F71" i="15"/>
  <c r="F64" i="15"/>
  <c r="M59" i="15"/>
  <c r="N59" i="15"/>
  <c r="L59" i="15"/>
  <c r="Q74" i="15" s="1"/>
  <c r="F68" i="15"/>
  <c r="Q71" i="15"/>
  <c r="F66" i="15"/>
  <c r="I54" i="67"/>
  <c r="J53" i="67"/>
  <c r="F1" i="67" s="1"/>
  <c r="J57" i="67"/>
  <c r="J55" i="67" s="1"/>
  <c r="J58" i="67" s="1"/>
  <c r="Q50" i="67" s="1"/>
  <c r="L56" i="67"/>
  <c r="F71" i="67"/>
  <c r="M59" i="67"/>
  <c r="L58" i="67"/>
  <c r="Q73" i="67" s="1"/>
  <c r="N59" i="67"/>
  <c r="L59" i="67"/>
  <c r="Q61" i="67" s="1"/>
  <c r="Q71" i="67"/>
  <c r="C6" i="67"/>
  <c r="C32" i="67" s="1"/>
  <c r="F50" i="67"/>
  <c r="M7" i="67"/>
  <c r="J6" i="67" s="1"/>
  <c r="J18" i="67" s="1"/>
  <c r="F68" i="67"/>
  <c r="F65" i="67"/>
  <c r="F66" i="67"/>
  <c r="F51" i="67"/>
  <c r="F64" i="67"/>
  <c r="C27" i="67"/>
  <c r="G26" i="43"/>
  <c r="Q16" i="1"/>
  <c r="E28" i="6"/>
  <c r="K14" i="1" s="1"/>
  <c r="K16" i="1" s="1"/>
  <c r="H16" i="1"/>
  <c r="E26" i="43"/>
  <c r="C6" i="15"/>
  <c r="C32" i="15" s="1"/>
  <c r="F31" i="15"/>
  <c r="F65" i="15"/>
  <c r="C27" i="15"/>
  <c r="J57" i="15"/>
  <c r="J55" i="15" s="1"/>
  <c r="J58" i="15" s="1"/>
  <c r="Q50" i="15" s="1"/>
  <c r="L58" i="15"/>
  <c r="Q60" i="15" s="1"/>
  <c r="I54" i="15"/>
  <c r="J53" i="15"/>
  <c r="L56" i="15" s="1"/>
  <c r="M7" i="15"/>
  <c r="J6" i="15" s="1"/>
  <c r="J18" i="15" s="1"/>
  <c r="F50" i="15"/>
  <c r="F51" i="15"/>
  <c r="T28" i="71"/>
  <c r="D28" i="71"/>
  <c r="U28" i="71" s="1"/>
  <c r="C27" i="71"/>
  <c r="T52" i="71"/>
  <c r="D52" i="71"/>
  <c r="AZ31" i="3"/>
  <c r="AZ149" i="3"/>
  <c r="AZ27" i="3"/>
  <c r="U39" i="40"/>
  <c r="AB39" i="40"/>
  <c r="AC23" i="36"/>
  <c r="W23" i="36"/>
  <c r="S38" i="40"/>
  <c r="AA38" i="40"/>
  <c r="W28" i="34"/>
  <c r="AC28" i="34"/>
  <c r="C78" i="71"/>
  <c r="D78" i="71" s="1"/>
  <c r="D79" i="71"/>
  <c r="AZ51" i="3"/>
  <c r="B19" i="71"/>
  <c r="B18" i="71" s="1"/>
  <c r="B17" i="71" s="1"/>
  <c r="B16" i="71" s="1"/>
  <c r="S20" i="71"/>
  <c r="D75" i="71"/>
  <c r="C74" i="71"/>
  <c r="D74" i="71" s="1"/>
  <c r="C36" i="71"/>
  <c r="D35" i="71"/>
  <c r="AZ274" i="3"/>
  <c r="AZ282" i="3"/>
  <c r="AZ241" i="3"/>
  <c r="AZ210" i="3"/>
  <c r="AZ118" i="3"/>
  <c r="AZ422" i="3"/>
  <c r="AZ491" i="3"/>
  <c r="AZ457" i="3"/>
  <c r="U45" i="39"/>
  <c r="AB45" i="39"/>
  <c r="AC39" i="40"/>
  <c r="W39" i="40"/>
  <c r="AB23" i="36"/>
  <c r="U23" i="36"/>
  <c r="AC9" i="36"/>
  <c r="W9" i="36"/>
  <c r="AA45" i="21"/>
  <c r="S45" i="21"/>
  <c r="AA23" i="35"/>
  <c r="S23" i="35"/>
  <c r="AA28" i="34"/>
  <c r="S28" i="34"/>
  <c r="G5" i="3"/>
  <c r="B3" i="3" s="1"/>
  <c r="E333" i="3" s="1"/>
  <c r="C40" i="71"/>
  <c r="D39" i="71"/>
  <c r="AZ58" i="3"/>
  <c r="AZ49" i="3"/>
  <c r="D23" i="71"/>
  <c r="C22" i="71"/>
  <c r="D67" i="71"/>
  <c r="C66" i="71"/>
  <c r="O67" i="71"/>
  <c r="AZ41" i="3"/>
  <c r="AZ294" i="3"/>
  <c r="AZ461" i="3"/>
  <c r="AZ421" i="3"/>
  <c r="AB24" i="36"/>
  <c r="U24" i="36"/>
  <c r="AZ550" i="3"/>
  <c r="AB9" i="33"/>
  <c r="U9" i="33"/>
  <c r="W45" i="21"/>
  <c r="AC45" i="21"/>
  <c r="U23" i="35"/>
  <c r="AB23" i="35"/>
  <c r="G16" i="1"/>
  <c r="F10" i="39" s="1"/>
  <c r="AA10" i="39" s="1"/>
  <c r="C64" i="71"/>
  <c r="D63" i="71"/>
  <c r="AZ121" i="3"/>
  <c r="T32" i="71"/>
  <c r="D32" i="71"/>
  <c r="C82" i="71"/>
  <c r="D82" i="71" s="1"/>
  <c r="D83" i="71"/>
  <c r="C70" i="71"/>
  <c r="D70" i="71" s="1"/>
  <c r="D71" i="71"/>
  <c r="AZ271" i="3"/>
  <c r="AZ277" i="3"/>
  <c r="AZ244" i="3"/>
  <c r="AZ239" i="3"/>
  <c r="AZ397" i="3"/>
  <c r="AZ130" i="3"/>
  <c r="AZ483" i="3"/>
  <c r="AZ460" i="3"/>
  <c r="AC9" i="33"/>
  <c r="W9" i="33"/>
  <c r="AB38" i="40"/>
  <c r="U38" i="40"/>
  <c r="AZ585" i="3"/>
  <c r="AC23" i="35"/>
  <c r="W23" i="35"/>
  <c r="J7" i="37"/>
  <c r="K1" i="73"/>
  <c r="AA26" i="37"/>
  <c r="S26" i="37"/>
  <c r="BA5" i="3"/>
  <c r="E27" i="6" s="1"/>
  <c r="AZ5" i="3"/>
  <c r="E3" i="6"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67"/>
  <c r="AE6" i="1"/>
  <c r="F27" i="69"/>
  <c r="G1" i="73"/>
  <c r="C16" i="15"/>
  <c r="AC34" i="34" l="1"/>
  <c r="W34" i="34"/>
  <c r="AA34" i="34"/>
  <c r="S34" i="34"/>
  <c r="U34" i="34"/>
  <c r="AB34" i="34"/>
  <c r="T49" i="34" s="1"/>
  <c r="G49" i="34" s="1"/>
  <c r="G53" i="34" s="1"/>
  <c r="H53" i="34" s="1"/>
  <c r="K26" i="6"/>
  <c r="M26" i="6" s="1"/>
  <c r="I26" i="6" s="1"/>
  <c r="S26" i="6" s="1"/>
  <c r="E30" i="6"/>
  <c r="F45" i="69"/>
  <c r="Q61" i="15"/>
  <c r="D26" i="43"/>
  <c r="C25" i="43" s="1"/>
  <c r="Q74" i="67"/>
  <c r="J5" i="67"/>
  <c r="J24" i="67" s="1"/>
  <c r="C29" i="69"/>
  <c r="D27" i="69" s="1"/>
  <c r="C47" i="69"/>
  <c r="D45" i="69" s="1"/>
  <c r="Q52" i="67"/>
  <c r="Q60" i="67"/>
  <c r="C49" i="67"/>
  <c r="S10" i="39"/>
  <c r="J10" i="40"/>
  <c r="AC10" i="40" s="1"/>
  <c r="Q73" i="15"/>
  <c r="H10" i="40"/>
  <c r="AB10" i="40" s="1"/>
  <c r="M14" i="1"/>
  <c r="H10" i="39"/>
  <c r="U10" i="39" s="1"/>
  <c r="C49" i="15"/>
  <c r="J10" i="39"/>
  <c r="W10" i="39" s="1"/>
  <c r="F10" i="40"/>
  <c r="S10" i="40" s="1"/>
  <c r="E148" i="3"/>
  <c r="E278" i="3"/>
  <c r="AJ6" i="3"/>
  <c r="E345" i="3"/>
  <c r="E106" i="3"/>
  <c r="E568" i="3"/>
  <c r="E261" i="3"/>
  <c r="E508" i="3"/>
  <c r="E505" i="3"/>
  <c r="E111" i="3"/>
  <c r="E395" i="3"/>
  <c r="E444" i="3"/>
  <c r="E390" i="3"/>
  <c r="E167" i="3"/>
  <c r="E218" i="3"/>
  <c r="E225" i="3"/>
  <c r="E535" i="3"/>
  <c r="E28" i="3"/>
  <c r="E228" i="3"/>
  <c r="E337" i="3"/>
  <c r="E318" i="3"/>
  <c r="E30" i="3"/>
  <c r="E532" i="3"/>
  <c r="E440" i="3"/>
  <c r="E369" i="3"/>
  <c r="E246" i="3"/>
  <c r="E335" i="3"/>
  <c r="E217" i="3"/>
  <c r="Z6" i="3"/>
  <c r="E587" i="3"/>
  <c r="E124" i="3"/>
  <c r="E380" i="3"/>
  <c r="E175" i="3"/>
  <c r="E515" i="3"/>
  <c r="E527" i="3"/>
  <c r="V6" i="3"/>
  <c r="I6" i="3"/>
  <c r="E272" i="3"/>
  <c r="E373" i="3"/>
  <c r="E339" i="3"/>
  <c r="E206" i="3"/>
  <c r="E275" i="3"/>
  <c r="E247" i="3"/>
  <c r="E315" i="3"/>
  <c r="E503" i="3"/>
  <c r="E27" i="3"/>
  <c r="E578" i="3"/>
  <c r="E254" i="3"/>
  <c r="E65" i="3"/>
  <c r="E139" i="3"/>
  <c r="E118" i="3"/>
  <c r="E487" i="3"/>
  <c r="E263" i="3"/>
  <c r="E570" i="3"/>
  <c r="E273" i="3"/>
  <c r="E368" i="3"/>
  <c r="E560" i="3"/>
  <c r="E301" i="3"/>
  <c r="AR6" i="3"/>
  <c r="E331" i="3"/>
  <c r="E269" i="3"/>
  <c r="E314" i="3"/>
  <c r="E516" i="3"/>
  <c r="Q6" i="3"/>
  <c r="E397" i="3"/>
  <c r="E209" i="3"/>
  <c r="E510" i="3"/>
  <c r="E33" i="3"/>
  <c r="E18" i="3"/>
  <c r="E102" i="3"/>
  <c r="E173" i="3"/>
  <c r="E408" i="3"/>
  <c r="E420" i="3"/>
  <c r="E428" i="3"/>
  <c r="E49" i="3"/>
  <c r="E16" i="3"/>
  <c r="E543" i="3"/>
  <c r="E490"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63" i="3"/>
  <c r="E383" i="3"/>
  <c r="E113" i="3"/>
  <c r="E525" i="3"/>
  <c r="E451" i="3"/>
  <c r="E26" i="3"/>
  <c r="E412" i="3"/>
  <c r="E232" i="3"/>
  <c r="E188" i="3"/>
  <c r="E427"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95" i="3"/>
  <c r="E513" i="3"/>
  <c r="E34" i="3"/>
  <c r="E22" i="3"/>
  <c r="E405" i="3"/>
  <c r="E497" i="3"/>
  <c r="E115" i="3"/>
  <c r="E220" i="3"/>
  <c r="E158" i="3"/>
  <c r="E105" i="3"/>
  <c r="E422"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433" i="3"/>
  <c r="E519" i="3"/>
  <c r="E253" i="3"/>
  <c r="E61" i="3"/>
  <c r="E130" i="3"/>
  <c r="E358" i="3"/>
  <c r="E282" i="3"/>
  <c r="E295" i="3"/>
  <c r="E443" i="3"/>
  <c r="E274" i="3"/>
  <c r="E262" i="3"/>
  <c r="E213" i="3"/>
  <c r="E574" i="3"/>
  <c r="E546" i="3"/>
  <c r="E257" i="3"/>
  <c r="E306" i="3"/>
  <c r="E488" i="3"/>
  <c r="E47" i="3"/>
  <c r="E57" i="3"/>
  <c r="E155" i="3"/>
  <c r="E50" i="3"/>
  <c r="E137" i="3"/>
  <c r="E202" i="3"/>
  <c r="E393" i="3"/>
  <c r="E13" i="3"/>
  <c r="E391" i="3"/>
  <c r="E378" i="3"/>
  <c r="E248" i="3"/>
  <c r="E131" i="3"/>
  <c r="AY6" i="3"/>
  <c r="AY53" i="3" s="1"/>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50" i="3"/>
  <c r="E193" i="3"/>
  <c r="E583" i="3"/>
  <c r="E290" i="3"/>
  <c r="E230" i="3"/>
  <c r="E151" i="3"/>
  <c r="E553" i="3"/>
  <c r="E166" i="3"/>
  <c r="P6" i="3"/>
  <c r="E55" i="3"/>
  <c r="E156" i="3"/>
  <c r="E169" i="3"/>
  <c r="E153" i="3"/>
  <c r="E432" i="3"/>
  <c r="E475" i="3"/>
  <c r="E122" i="3"/>
  <c r="Y6" i="3"/>
  <c r="E582" i="3"/>
  <c r="E421" i="3"/>
  <c r="E398" i="3"/>
  <c r="E147" i="3"/>
  <c r="E455" i="3"/>
  <c r="E40" i="3"/>
  <c r="E326" i="3"/>
  <c r="E456" i="3"/>
  <c r="E64"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7" i="3"/>
  <c r="E511" i="3"/>
  <c r="E518" i="3"/>
  <c r="E260" i="3"/>
  <c r="E407" i="3"/>
  <c r="E569" i="3"/>
  <c r="E480" i="3"/>
  <c r="E404" i="3"/>
  <c r="E576" i="3"/>
  <c r="E344" i="3"/>
  <c r="AN6" i="3"/>
  <c r="E418" i="3"/>
  <c r="E29" i="3"/>
  <c r="E379" i="3"/>
  <c r="E288" i="3"/>
  <c r="E98" i="3"/>
  <c r="E259" i="3"/>
  <c r="E19" i="3"/>
  <c r="E51" i="3"/>
  <c r="E101" i="3"/>
  <c r="E52" i="3"/>
  <c r="E43" i="3"/>
  <c r="E498" i="3"/>
  <c r="E324" i="3"/>
  <c r="E205" i="3"/>
  <c r="E486" i="3"/>
  <c r="E493" i="3"/>
  <c r="E223" i="3"/>
  <c r="E83" i="3"/>
  <c r="E370" i="3"/>
  <c r="E342" i="3"/>
  <c r="E78" i="3"/>
  <c r="E243" i="3"/>
  <c r="E104" i="3"/>
  <c r="E452" i="3"/>
  <c r="E360" i="3"/>
  <c r="E469" i="3"/>
  <c r="E534" i="3"/>
  <c r="E140" i="3"/>
  <c r="E287" i="3"/>
  <c r="E251" i="3"/>
  <c r="E522" i="3"/>
  <c r="E96" i="3"/>
  <c r="AL6" i="3"/>
  <c r="E494" i="3"/>
  <c r="E81" i="3"/>
  <c r="E233" i="3"/>
  <c r="E267" i="3"/>
  <c r="E241" i="3"/>
  <c r="E449" i="3"/>
  <c r="E235" i="3"/>
  <c r="E482" i="3"/>
  <c r="E281" i="3"/>
  <c r="E309" i="3"/>
  <c r="E68" i="3"/>
  <c r="E67" i="3"/>
  <c r="E409" i="3"/>
  <c r="E417" i="3"/>
  <c r="E575" i="3"/>
  <c r="E376" i="3"/>
  <c r="E507" i="3"/>
  <c r="E564" i="3"/>
  <c r="E116" i="3"/>
  <c r="E329" i="3"/>
  <c r="E80" i="3"/>
  <c r="E35" i="3"/>
  <c r="E190" i="3"/>
  <c r="E356" i="3"/>
  <c r="E41" i="3"/>
  <c r="E470" i="3"/>
  <c r="E556" i="3"/>
  <c r="E512" i="3"/>
  <c r="T6" i="3"/>
  <c r="E197" i="3"/>
  <c r="E308" i="3"/>
  <c r="AF6" i="3"/>
  <c r="E86" i="3"/>
  <c r="E174" i="3"/>
  <c r="E42" i="3"/>
  <c r="E198" i="3"/>
  <c r="E283" i="3"/>
  <c r="E355" i="3"/>
  <c r="E310" i="3"/>
  <c r="E389" i="3"/>
  <c r="E554" i="3"/>
  <c r="E536" i="3"/>
  <c r="J5" i="15"/>
  <c r="J24" i="15" s="1"/>
  <c r="F1" i="15"/>
  <c r="Q52" i="15"/>
  <c r="E492" i="3"/>
  <c r="E249" i="3"/>
  <c r="E46" i="3"/>
  <c r="E484" i="3"/>
  <c r="E544" i="3"/>
  <c r="E292" i="3"/>
  <c r="E152" i="3"/>
  <c r="E479" i="3"/>
  <c r="E517" i="3"/>
  <c r="E255" i="3"/>
  <c r="E466" i="3"/>
  <c r="E499" i="3"/>
  <c r="E212" i="3"/>
  <c r="T40" i="71"/>
  <c r="D40" i="71"/>
  <c r="D64" i="71"/>
  <c r="T64" i="71"/>
  <c r="O65" i="71"/>
  <c r="D66" i="71"/>
  <c r="O66" i="71"/>
  <c r="D36" i="71"/>
  <c r="T36" i="71"/>
  <c r="E184" i="3"/>
  <c r="E84" i="3"/>
  <c r="E371" i="3"/>
  <c r="E160" i="3"/>
  <c r="E467" i="3"/>
  <c r="E59" i="3"/>
  <c r="E349" i="3"/>
  <c r="E258" i="3"/>
  <c r="E37" i="3"/>
  <c r="E491" i="3"/>
  <c r="AP6" i="3"/>
  <c r="E430" i="3"/>
  <c r="E502" i="3"/>
  <c r="E286" i="3"/>
  <c r="E539" i="3"/>
  <c r="C26" i="71"/>
  <c r="D26" i="71" s="1"/>
  <c r="D27" i="71"/>
  <c r="E129" i="3"/>
  <c r="E75" i="3"/>
  <c r="E332" i="3"/>
  <c r="E21" i="3"/>
  <c r="E264" i="3"/>
  <c r="E381" i="3"/>
  <c r="E144" i="3"/>
  <c r="E23" i="3"/>
  <c r="E300" i="3"/>
  <c r="E103" i="3"/>
  <c r="E425" i="3"/>
  <c r="E76" i="3"/>
  <c r="E363" i="3"/>
  <c r="E192" i="3"/>
  <c r="E56" i="3"/>
  <c r="E435" i="3"/>
  <c r="I3" i="6"/>
  <c r="E541" i="3"/>
  <c r="R6" i="3"/>
  <c r="E199"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55" i="3"/>
  <c r="AY268" i="3"/>
  <c r="AY183" i="3"/>
  <c r="AY529" i="3"/>
  <c r="AY463" i="3"/>
  <c r="AY92" i="3"/>
  <c r="AY165" i="3"/>
  <c r="AY219" i="3"/>
  <c r="AY202" i="3"/>
  <c r="AY333" i="3"/>
  <c r="AY411" i="3"/>
  <c r="AY18" i="3"/>
  <c r="AY355" i="3"/>
  <c r="AY182" i="3"/>
  <c r="AY93" i="3"/>
  <c r="AY454" i="3"/>
  <c r="AY112"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D3" i="21"/>
  <c r="E6" i="6"/>
  <c r="D37" i="11"/>
  <c r="D14" i="12"/>
  <c r="M18" i="9"/>
  <c r="B118" i="9" s="1"/>
  <c r="B1" i="74" s="1"/>
  <c r="D3" i="34"/>
  <c r="D19" i="11"/>
  <c r="C19" i="11" s="1"/>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F41" i="67"/>
  <c r="F41" i="15"/>
  <c r="M27" i="67"/>
  <c r="G54" i="34" l="1"/>
  <c r="H54" i="34" s="1"/>
  <c r="F69" i="67"/>
  <c r="R50" i="34"/>
  <c r="I53" i="34"/>
  <c r="J53" i="34" s="1"/>
  <c r="C48" i="67"/>
  <c r="C66" i="67" s="1"/>
  <c r="W10" i="40"/>
  <c r="AA10" i="40"/>
  <c r="C48" i="15"/>
  <c r="C66" i="15" s="1"/>
  <c r="AB10" i="39"/>
  <c r="AC6" i="3"/>
  <c r="AY351" i="3"/>
  <c r="AY15" i="3"/>
  <c r="AY338" i="3"/>
  <c r="AY34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87" i="3"/>
  <c r="AY177" i="3"/>
  <c r="AY427" i="3"/>
  <c r="AY510" i="3"/>
  <c r="AY98" i="3"/>
  <c r="AY334" i="3"/>
  <c r="AY526" i="3"/>
  <c r="AY574" i="3"/>
  <c r="AY85" i="3"/>
  <c r="AY157" i="3"/>
  <c r="AY271" i="3"/>
  <c r="BI6" i="3"/>
  <c r="AY186" i="3"/>
  <c r="AY243" i="3"/>
  <c r="AY464" i="3"/>
  <c r="AY403" i="3"/>
  <c r="AY527" i="3"/>
  <c r="AY523" i="3"/>
  <c r="AY82" i="3"/>
  <c r="AY29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4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290" i="3"/>
  <c r="AY210" i="3"/>
  <c r="AY349" i="3"/>
  <c r="AY332" i="3"/>
  <c r="AY488" i="3"/>
  <c r="AY446" i="3"/>
  <c r="BM6" i="3"/>
  <c r="BF6" i="3"/>
  <c r="AY163" i="3"/>
  <c r="AY390" i="3"/>
  <c r="AY25" i="3"/>
  <c r="AY211" i="3"/>
  <c r="AY325" i="3"/>
  <c r="AY532" i="3"/>
  <c r="AY54" i="3"/>
  <c r="AY485" i="3"/>
  <c r="AY172" i="3"/>
  <c r="AY515" i="3"/>
  <c r="AY476" i="3"/>
  <c r="AY267" i="3"/>
  <c r="AY272" i="3"/>
  <c r="AY576" i="3"/>
  <c r="AY383" i="3"/>
  <c r="AY47" i="3"/>
  <c r="AY17" i="3"/>
  <c r="AY336" i="3"/>
  <c r="AY142" i="3"/>
  <c r="BD6" i="3"/>
  <c r="AY241" i="3"/>
  <c r="AY184" i="3"/>
  <c r="BL6" i="3"/>
  <c r="AY456" i="3"/>
  <c r="AY378" i="3"/>
  <c r="AY135" i="3"/>
  <c r="AY63" i="3"/>
  <c r="AY542" i="3"/>
  <c r="AY506" i="3"/>
  <c r="AY458" i="3"/>
  <c r="AY234" i="3"/>
  <c r="AY158" i="3"/>
  <c r="AY101" i="3"/>
  <c r="AY520" i="3"/>
  <c r="AY449" i="3"/>
  <c r="AY258" i="3"/>
  <c r="BB6" i="3"/>
  <c r="AY255" i="3"/>
  <c r="AY198" i="3"/>
  <c r="AY540" i="3"/>
  <c r="AY379" i="3"/>
  <c r="AY489" i="3"/>
  <c r="AY556" i="3"/>
  <c r="AY340" i="3"/>
  <c r="AY389" i="3"/>
  <c r="AY199" i="3"/>
  <c r="BG6" i="3"/>
  <c r="AY430" i="3"/>
  <c r="AY388" i="3"/>
  <c r="AY73" i="3"/>
  <c r="AY262" i="3"/>
  <c r="AY185" i="3"/>
  <c r="BE6" i="3"/>
  <c r="AY327" i="3"/>
  <c r="AY460" i="3"/>
  <c r="AY160" i="3"/>
  <c r="AY58" i="3"/>
  <c r="AY23" i="3"/>
  <c r="AY568" i="3"/>
  <c r="AY79" i="3"/>
  <c r="AY305"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518" i="3"/>
  <c r="AY226" i="3"/>
  <c r="AY239" i="3"/>
  <c r="BO6" i="3"/>
  <c r="AY486" i="3"/>
  <c r="AY571" i="3"/>
  <c r="AY472" i="3"/>
  <c r="AY259" i="3"/>
  <c r="BH6" i="3"/>
  <c r="AY278" i="3"/>
  <c r="AY33" i="3"/>
  <c r="AY544" i="3"/>
  <c r="AY217" i="3"/>
  <c r="AY319" i="3"/>
  <c r="AY103" i="3"/>
  <c r="AY131" i="3"/>
  <c r="AY83" i="3"/>
  <c r="AY521" i="3"/>
  <c r="AY257" i="3"/>
  <c r="AY394" i="3"/>
  <c r="AY505" i="3"/>
  <c r="AY174"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191" i="3"/>
  <c r="AY525" i="3"/>
  <c r="AY150" i="3"/>
  <c r="AY126" i="3"/>
  <c r="AY404" i="3"/>
  <c r="AY75" i="3"/>
  <c r="AY585" i="3"/>
  <c r="AY316" i="3"/>
  <c r="AY145" i="3"/>
  <c r="AY374" i="3"/>
  <c r="AY125" i="3"/>
  <c r="AY76" i="3"/>
  <c r="AY401" i="3"/>
  <c r="AY300" i="3"/>
  <c r="AY284" i="3"/>
  <c r="AY371" i="3"/>
  <c r="AY59" i="3"/>
  <c r="D116" i="43"/>
  <c r="H6" i="3"/>
  <c r="E6" i="3" s="1"/>
  <c r="F22" i="68"/>
  <c r="C44" i="68" s="1"/>
  <c r="D41" i="68" s="1"/>
  <c r="F25" i="12"/>
  <c r="C26" i="12" s="1"/>
  <c r="D25" i="12" s="1"/>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H2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9"/>
  <c r="D10" i="68"/>
  <c r="C14" i="67"/>
  <c r="D10" i="69"/>
  <c r="C17" i="67"/>
  <c r="C17" i="15"/>
  <c r="C34" i="69"/>
  <c r="C60" i="67" l="1"/>
  <c r="E53" i="34"/>
  <c r="F53" i="34" s="1"/>
  <c r="C60" i="15"/>
  <c r="C23" i="68"/>
  <c r="C26" i="68"/>
  <c r="D22" i="68" s="1"/>
  <c r="F41" i="68"/>
  <c r="C26" i="11"/>
  <c r="D22" i="11" s="1"/>
  <c r="C44" i="11"/>
  <c r="D41" i="11" s="1"/>
  <c r="D10" i="6"/>
  <c r="D28" i="6"/>
  <c r="D8" i="6"/>
  <c r="D5" i="6"/>
  <c r="D24" i="6"/>
  <c r="D13" i="6"/>
  <c r="D23" i="6"/>
  <c r="H22" i="6"/>
  <c r="R22" i="6" s="1"/>
  <c r="R9" i="1" s="1"/>
  <c r="D9" i="6"/>
  <c r="D26" i="6"/>
  <c r="D21" i="6"/>
  <c r="H26" i="6"/>
  <c r="R26" i="6" s="1"/>
  <c r="D11" i="6"/>
  <c r="C18" i="4"/>
  <c r="D29" i="6"/>
  <c r="D6" i="6"/>
  <c r="M19" i="9"/>
  <c r="C118" i="9" s="1"/>
  <c r="B2" i="74" s="1"/>
  <c r="D22" i="6"/>
  <c r="D30" i="6"/>
  <c r="E61" i="40"/>
  <c r="D12" i="6"/>
  <c r="D19" i="6"/>
  <c r="D14" i="6"/>
  <c r="D20" i="6"/>
  <c r="H21" i="6"/>
  <c r="H25" i="6"/>
  <c r="C19" i="71"/>
  <c r="T20" i="71"/>
  <c r="D20" i="71"/>
  <c r="U20" i="71" s="1"/>
  <c r="C25" i="11"/>
  <c r="C24" i="11"/>
  <c r="C44" i="69"/>
  <c r="D41" i="69" s="1"/>
  <c r="C26" i="69"/>
  <c r="D22" i="69"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4" i="6"/>
  <c r="R11" i="1" s="1"/>
  <c r="C15" i="12"/>
  <c r="C12" i="12"/>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27" i="6" l="1"/>
  <c r="D31" i="6" s="1"/>
  <c r="R20" i="6"/>
  <c r="R7" i="1"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19" i="9"/>
  <c r="D2" i="35"/>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0" i="1"/>
  <c r="D20" i="9"/>
  <c r="AO11" i="1"/>
  <c r="AO7" i="1"/>
  <c r="AO8" i="1"/>
  <c r="C19" i="9"/>
  <c r="AO12"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C105" i="9" l="1"/>
  <c r="H118" i="9"/>
  <c r="H101" i="9" s="1"/>
  <c r="F118" i="9"/>
  <c r="H102" i="9"/>
  <c r="R24" i="84" s="1"/>
  <c r="S24" i="84" s="1"/>
  <c r="I4" i="52"/>
  <c r="E118" i="9"/>
  <c r="R31" i="84" l="1"/>
  <c r="S31" i="84" s="1"/>
  <c r="R26" i="84"/>
  <c r="S26" i="84" s="1"/>
  <c r="R30" i="84"/>
  <c r="S30" i="84" s="1"/>
  <c r="R32" i="84"/>
  <c r="S32" i="84" s="1"/>
  <c r="R25" i="84"/>
  <c r="S25" i="84" s="1"/>
  <c r="H107" i="9"/>
  <c r="D5" i="53"/>
  <c r="D6" i="53" s="1"/>
  <c r="B22" i="72" s="1"/>
  <c r="C104" i="9"/>
  <c r="H119" i="9"/>
  <c r="H5" i="52" s="1"/>
  <c r="H4" i="52"/>
  <c r="F4" i="52"/>
  <c r="B51" i="72" s="1"/>
  <c r="F119" i="9"/>
  <c r="F5" i="52" s="1"/>
  <c r="B53" i="72" s="1"/>
  <c r="D118" i="9"/>
  <c r="E4" i="52"/>
  <c r="B48" i="72" s="1"/>
  <c r="D7" i="53"/>
  <c r="B21" i="72" s="1"/>
  <c r="H108" i="9" l="1"/>
  <c r="D15" i="53" s="1"/>
  <c r="B31" i="72" s="1"/>
  <c r="B20" i="72"/>
  <c r="D13" i="53"/>
  <c r="B30" i="72" s="1"/>
  <c r="S22" i="84"/>
  <c r="D122" i="9"/>
  <c r="D123" i="9" s="1"/>
  <c r="D9" i="52" s="1"/>
  <c r="D119" i="9"/>
  <c r="D5" i="52" s="1"/>
  <c r="B49" i="72" s="1"/>
  <c r="D4" i="52"/>
  <c r="B47" i="72" s="1"/>
  <c r="D8" i="52" l="1"/>
  <c r="D45" i="9"/>
  <c r="M48" i="9" s="1"/>
  <c r="M49" i="9" s="1"/>
  <c r="L67" i="9" s="1"/>
  <c r="M67" i="9" s="1"/>
  <c r="D14" i="74"/>
  <c r="G14" i="74" s="1"/>
  <c r="B6" i="74" s="1"/>
  <c r="L68" i="9"/>
  <c r="M68" i="9" s="1"/>
  <c r="D14" i="53"/>
  <c r="B32" i="72" s="1"/>
  <c r="D53" i="9"/>
  <c r="D52" i="9"/>
  <c r="C85" i="9"/>
  <c r="R22" i="84"/>
  <c r="E14" i="74" s="1"/>
  <c r="B20" i="84"/>
  <c r="B21" i="84" s="1"/>
  <c r="C78" i="9" l="1"/>
  <c r="C73" i="9" s="1"/>
  <c r="C72" i="9"/>
  <c r="C64" i="9"/>
  <c r="C63" i="9" s="1"/>
  <c r="C67" i="9" s="1"/>
  <c r="L64" i="9"/>
  <c r="M64" i="9" s="1"/>
  <c r="L63" i="9"/>
  <c r="M63" i="9" s="1"/>
  <c r="C93" i="9"/>
  <c r="C86" i="9" s="1"/>
  <c r="C95" i="9" s="1"/>
  <c r="C96" i="9" s="1"/>
  <c r="E96" i="9" s="1"/>
  <c r="E97" i="9" s="1"/>
  <c r="D55" i="9"/>
  <c r="M53" i="9" s="1"/>
  <c r="L65" i="9"/>
  <c r="M65" i="9" s="1"/>
  <c r="L66" i="9"/>
  <c r="M66" i="9" s="1"/>
  <c r="D6" i="74"/>
  <c r="C6" i="74"/>
  <c r="B5" i="74"/>
  <c r="E5" i="74" s="1"/>
  <c r="F14" i="74"/>
  <c r="C79" i="9"/>
  <c r="C80" i="9" s="1"/>
  <c r="E80" i="9" s="1"/>
  <c r="E81" i="9" s="1"/>
  <c r="D59" i="9"/>
  <c r="M55" i="9" s="1"/>
  <c r="C68" i="9"/>
  <c r="D54" i="9" s="1"/>
  <c r="D48" i="9" s="1"/>
  <c r="M52" i="9" s="1"/>
  <c r="M69" i="9" l="1"/>
  <c r="N69" i="9" s="1"/>
  <c r="C81" i="9"/>
  <c r="D5" i="74"/>
  <c r="C5" i="74"/>
  <c r="C97" i="9"/>
  <c r="D58" i="9" l="1"/>
  <c r="D56" i="9" s="1"/>
  <c r="M54" i="9" s="1"/>
  <c r="N57" i="9" s="1"/>
  <c r="P57" i="9" s="1"/>
  <c r="N58" i="9" l="1"/>
  <c r="N59" i="9"/>
  <c r="I14" i="74" l="1"/>
  <c r="B8" i="74" s="1"/>
  <c r="N61" i="9"/>
  <c r="H112" i="9"/>
  <c r="C8" i="74" s="1"/>
  <c r="H111" i="9"/>
  <c r="D19" i="53" s="1"/>
  <c r="N60" i="9"/>
  <c r="D8" i="74" l="1"/>
  <c r="E8" i="74"/>
  <c r="D126" i="9"/>
  <c r="D127" i="9" s="1"/>
  <c r="D13" i="52" s="1"/>
  <c r="D21" i="53"/>
  <c r="B39" i="72" s="1"/>
  <c r="B38" i="72"/>
  <c r="D20" i="53"/>
  <c r="B40" i="72" s="1"/>
  <c r="D12"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6B41515A-14BA-418C-BF22-E02D702C092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<sst xmlns="http://schemas.openxmlformats.org/spreadsheetml/2006/main" count="8052" uniqueCount="3541">
  <si>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</si>
  <si>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</si>
  <si>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</si>
  <si>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</si>
  <si>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</si>
  <si>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</si>
  <si>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</si>
  <si>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</si>
  <si>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</si>
  <si>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</si>
  <si>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</si>
  <si>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</si>
  <si>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</si>
  <si>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</si>
  <si>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</si>
  <si>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</si>
  <si>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</si>
  <si>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</si>
  <si>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</si>
  <si>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</si>
  <si>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</si>
  <si>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</si>
  <si>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</si>
  <si>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</si>
  <si>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</si>
  <si>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</si>
  <si>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</si>
  <si>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</si>
  <si>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</si>
  <si>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</si>
  <si>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</si>
  <si>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</si>
  <si>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</si>
  <si>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</si>
  <si>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</si>
  <si>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</si>
  <si>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</si>
  <si>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</si>
  <si>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</si>
  <si>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</si>
  <si>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</si>
  <si>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</si>
  <si>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</si>
  <si>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</si>
  <si>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</si>
  <si>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</si>
  <si>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</si>
  <si>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</si>
  <si>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</si>
  <si>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</si>
  <si>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</si>
  <si>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</si>
  <si>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</si>
  <si>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</si>
  <si>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</si>
  <si>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</si>
  <si>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</si>
  <si>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</si>
  <si>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</si>
  <si>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</si>
  <si>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</si>
  <si>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</si>
  <si>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</si>
  <si>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</si>
  <si>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</si>
  <si>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</si>
  <si>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</si>
  <si>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</si>
  <si>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</si>
  <si>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</si>
  <si>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</si>
  <si>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</si>
  <si>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</si>
  <si>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</si>
  <si>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</si>
  <si>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</si>
  <si>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</si>
  <si>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</si>
  <si>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</si>
  <si>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</si>
  <si>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</si>
  <si>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</si>
  <si>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</si>
  <si>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</si>
  <si>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</si>
  <si>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</si>
  <si>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</si>
  <si>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</si>
  <si>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</si>
  <si>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</si>
  <si>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</si>
  <si>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</si>
  <si>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</si>
  <si>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</si>
  <si>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</si>
  <si>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</si>
  <si>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</si>
  <si>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</si>
  <si>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</si>
  <si>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</si>
  <si>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</si>
  <si>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</si>
  <si>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</si>
  <si>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</si>
  <si>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</si>
  <si>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</si>
  <si>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</si>
  <si>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</si>
  <si>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</si>
  <si>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</si>
  <si>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</si>
  <si>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</si>
  <si>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</si>
  <si>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</si>
  <si>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</si>
  <si>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</si>
  <si>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</si>
  <si>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</si>
  <si>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</si>
  <si>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</si>
  <si>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</si>
  <si>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</si>
  <si>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</si>
  <si>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</si>
  <si>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</si>
  <si>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</si>
  <si>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</si>
  <si>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</si>
  <si>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</si>
  <si>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</si>
  <si>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</si>
  <si>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</si>
  <si>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</si>
  <si>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</si>
  <si>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</si>
  <si>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</si>
  <si>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</si>
  <si>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</si>
  <si>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</si>
  <si>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</si>
  <si>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</si>
  <si>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</si>
  <si>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</si>
  <si>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</si>
  <si>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</si>
  <si>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</si>
  <si>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</si>
  <si>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</si>
  <si>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</si>
  <si>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</si>
  <si>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</si>
  <si>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</si>
  <si>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</si>
  <si>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</si>
  <si>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</si>
  <si>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</si>
  <si>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</si>
  <si>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</si>
  <si>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</si>
  <si>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</si>
  <si>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</si>
  <si>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</si>
  <si>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</si>
  <si>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</si>
  <si>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</si>
  <si>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</si>
  <si>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</si>
  <si>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</si>
  <si>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</si>
  <si>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</si>
  <si>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</si>
  <si>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</si>
  <si>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</si>
  <si>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</si>
  <si>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</si>
  <si>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</si>
  <si>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</si>
  <si>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</si>
  <si>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</si>
  <si>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</si>
  <si>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</si>
  <si>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</si>
  <si>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</si>
  <si>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</si>
  <si>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</si>
  <si>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</si>
  <si>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</si>
  <si>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</si>
  <si>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</si>
  <si>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</si>
  <si>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</si>
  <si>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</si>
  <si>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</si>
  <si>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</si>
  <si>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</si>
  <si>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</si>
  <si>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</si>
  <si>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</si>
  <si>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</si>
  <si>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</si>
  <si>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</si>
  <si>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</si>
  <si>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</si>
  <si>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</si>
  <si>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</si>
  <si>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</si>
  <si>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</si>
  <si>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</si>
  <si>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</si>
  <si>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</si>
  <si>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</si>
  <si>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</si>
  <si>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</si>
  <si>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</si>
  <si>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</si>
  <si>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</si>
  <si>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</si>
  <si>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</si>
  <si>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</si>
  <si>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</si>
  <si>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</si>
  <si>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</si>
  <si>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</si>
  <si>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</si>
  <si>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</si>
  <si>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</si>
  <si>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</si>
  <si>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</si>
  <si>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</si>
  <si>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</si>
  <si>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</si>
  <si>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</si>
  <si>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</si>
  <si>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</si>
  <si>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</si>
  <si>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</si>
  <si>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</si>
  <si>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</si>
  <si>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</si>
  <si>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</si>
  <si>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</si>
  <si>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</si>
  <si>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</si>
  <si>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</si>
  <si>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</si>
  <si>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</si>
  <si>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</si>
  <si>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</si>
  <si>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</si>
  <si>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</si>
  <si>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</si>
  <si>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</si>
  <si>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</si>
  <si>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</si>
  <si>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</si>
  <si>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</si>
  <si>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</si>
  <si>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</si>
  <si>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</si>
  <si>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</si>
  <si>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</si>
  <si>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</si>
  <si>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</si>
  <si>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</si>
  <si>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</si>
  <si>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</si>
  <si>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</si>
  <si>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</si>
  <si>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</si>
  <si>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</si>
  <si>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</si>
  <si>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</si>
  <si>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</si>
  <si>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</si>
  <si>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</si>
  <si>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</si>
  <si>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</si>
  <si>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</si>
  <si>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</si>
  <si>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</si>
  <si>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</si>
  <si>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</si>
  <si>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</si>
  <si>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</si>
  <si>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</si>
  <si>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</si>
  <si>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</si>
  <si>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</si>
  <si>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</si>
  <si>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</si>
  <si>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</si>
  <si>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</si>
  <si>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</si>
  <si>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</si>
  <si>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</si>
  <si>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</si>
  <si>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</si>
  <si>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</si>
  <si>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</si>
  <si>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</si>
  <si>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</si>
  <si>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</si>
  <si>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</si>
  <si>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</si>
  <si>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</si>
  <si>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</si>
  <si>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</si>
  <si>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</si>
  <si>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</si>
  <si>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</si>
  <si>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</si>
  <si>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</si>
  <si>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</si>
  <si>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</si>
  <si>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</si>
  <si>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</si>
  <si>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</si>
  <si>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</si>
  <si>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</si>
  <si>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</si>
  <si>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</si>
  <si>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</si>
  <si>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</si>
  <si>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</si>
  <si>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</si>
  <si>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</si>
  <si>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</si>
  <si>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</si>
  <si>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</si>
  <si>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</si>
  <si>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</si>
  <si>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</si>
  <si>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</si>
  <si>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</si>
  <si>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</si>
  <si>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</si>
  <si>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</si>
  <si>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</si>
  <si>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</si>
  <si>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</si>
  <si>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</si>
  <si>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</si>
  <si>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</si>
  <si>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</si>
  <si>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</si>
  <si>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</si>
  <si>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</si>
  <si>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</si>
  <si>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</si>
  <si>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</si>
  <si>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</si>
  <si>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</si>
  <si>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</si>
  <si>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</si>
  <si>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</si>
  <si>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</si>
  <si>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</si>
  <si>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</si>
  <si>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</si>
  <si>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</si>
  <si>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</si>
  <si>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</si>
  <si>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</si>
  <si>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</si>
  <si>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</si>
  <si>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</si>
  <si>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</si>
  <si>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</si>
  <si>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</si>
  <si>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</si>
  <si>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</si>
  <si>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</si>
  <si>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</si>
  <si>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</si>
  <si>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</si>
  <si>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</si>
  <si>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</si>
  <si>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</si>
  <si>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</si>
  <si>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</si>
  <si>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</si>
  <si>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</si>
  <si>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</si>
  <si>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</si>
  <si>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</si>
  <si>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</si>
  <si>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</si>
  <si>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</si>
  <si>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</si>
  <si>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</si>
  <si>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</si>
  <si>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</si>
  <si>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</si>
  <si>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</si>
  <si>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</si>
  <si>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</si>
  <si>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</si>
  <si>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</si>
  <si>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</si>
  <si>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</si>
  <si>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</si>
  <si>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</si>
  <si>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</si>
  <si>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</si>
  <si>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</si>
  <si>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</si>
  <si>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</si>
  <si>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</si>
  <si>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</si>
  <si>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</si>
  <si>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</si>
  <si>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</si>
  <si>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</si>
  <si>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</si>
  <si>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</si>
  <si>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</si>
  <si>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</si>
  <si>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</si>
  <si>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</si>
  <si>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</si>
  <si>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</si>
  <si>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</si>
  <si>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</si>
  <si>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</si>
  <si>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</si>
  <si>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</si>
  <si>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</si>
  <si>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</si>
  <si>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</si>
  <si>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</si>
  <si>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</si>
  <si>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</si>
  <si>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</si>
  <si>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</si>
  <si>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</si>
  <si>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</si>
  <si>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</si>
  <si>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</si>
  <si>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</si>
  <si>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</si>
  <si>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</si>
  <si>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</si>
  <si>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</si>
  <si>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</si>
  <si>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</si>
  <si>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</si>
  <si>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</si>
  <si>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</si>
  <si>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</si>
  <si>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</si>
  <si>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</si>
  <si>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</si>
  <si>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</si>
  <si>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</si>
  <si>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</si>
  <si>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</si>
  <si>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</si>
  <si>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</si>
  <si>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</si>
  <si>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</si>
  <si>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</si>
  <si>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</si>
  <si>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</si>
  <si>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</si>
  <si>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</si>
  <si>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</si>
  <si>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</si>
  <si>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</si>
  <si>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</si>
  <si>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</si>
  <si>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</si>
  <si>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</si>
  <si>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</si>
  <si>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</si>
  <si>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</si>
  <si>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</si>
  <si>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</si>
  <si>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</si>
  <si>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</si>
  <si>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</si>
  <si>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</si>
  <si>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</si>
  <si>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</si>
  <si>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</si>
  <si>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</si>
  <si>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</si>
  <si>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</si>
  <si>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</si>
  <si>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</si>
  <si>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</si>
  <si>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</si>
  <si>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</si>
  <si>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</si>
  <si>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</si>
  <si>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</si>
  <si>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</si>
  <si>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</si>
  <si>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</si>
  <si>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</si>
  <si>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</si>
  <si>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</si>
  <si>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</si>
  <si>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</si>
  <si>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</si>
  <si>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</si>
  <si>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</si>
  <si>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</si>
  <si>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</si>
  <si>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</si>
  <si>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</si>
  <si>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</si>
  <si>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</si>
  <si>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</si>
  <si>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</si>
  <si>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</si>
  <si>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</si>
  <si>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</si>
  <si>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</si>
  <si>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</si>
  <si>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</si>
  <si>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</si>
  <si>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</si>
  <si>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</si>
  <si>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</si>
  <si>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</si>
  <si>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</si>
  <si>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</si>
  <si>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</si>
  <si>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</si>
  <si>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</si>
  <si>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</si>
  <si>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</si>
  <si>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</si>
  <si>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</si>
  <si>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</si>
  <si>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</si>
  <si>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</si>
  <si>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</si>
  <si>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</si>
  <si>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</si>
  <si>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</si>
  <si>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</si>
  <si>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</si>
  <si>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</si>
  <si>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</si>
  <si>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</si>
  <si>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</si>
  <si>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</si>
  <si>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</si>
  <si>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</si>
  <si>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</si>
  <si>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</si>
  <si>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</si>
  <si>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</si>
  <si>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</si>
  <si>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</si>
  <si>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</si>
  <si>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</si>
  <si>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</si>
  <si>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</si>
  <si>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</si>
  <si>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</si>
  <si>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</si>
  <si>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</si>
  <si>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</si>
  <si>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</si>
  <si>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</si>
  <si>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</si>
  <si>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</si>
  <si>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</si>
  <si>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</si>
  <si>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</si>
  <si>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</si>
  <si>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</si>
  <si>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</si>
  <si>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</si>
  <si>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</si>
  <si>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</si>
  <si>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</si>
  <si>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</si>
  <si>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</si>
  <si>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</si>
  <si>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</si>
  <si>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</si>
  <si>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</si>
  <si>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</si>
  <si>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</si>
  <si>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</si>
  <si>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</si>
  <si>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</si>
  <si>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</si>
  <si>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</si>
  <si>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</si>
  <si>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</si>
  <si>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</si>
  <si>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</si>
  <si>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</si>
  <si>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</si>
  <si>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</si>
  <si>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</si>
  <si>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</si>
  <si>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</si>
  <si>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</si>
  <si>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</si>
  <si>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</si>
  <si>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</si>
  <si>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</si>
  <si>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</si>
  <si>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</si>
  <si>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</si>
  <si>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</si>
  <si>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</si>
  <si>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</si>
  <si>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</si>
  <si>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</si>
  <si>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</si>
  <si>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</si>
  <si>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</si>
  <si>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</si>
  <si>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</si>
  <si>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</si>
  <si>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</si>
  <si>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</si>
  <si>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</si>
  <si>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</si>
  <si>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</si>
  <si>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</si>
  <si>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</si>
  <si>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</si>
  <si>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</si>
  <si>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</si>
  <si>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</si>
  <si>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</si>
  <si>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</si>
  <si>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</si>
  <si>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</si>
  <si>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</si>
  <si>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</si>
  <si>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</si>
  <si>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</si>
  <si>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</si>
  <si>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</si>
  <si>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</si>
  <si>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</si>
  <si>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</si>
  <si>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</si>
  <si>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</si>
  <si>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</si>
  <si>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</si>
  <si>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</si>
  <si>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</si>
  <si>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</si>
  <si>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</si>
  <si>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</si>
  <si>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</si>
  <si>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</si>
  <si>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</si>
  <si>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</si>
  <si>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</si>
  <si>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</si>
  <si>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</si>
  <si>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</si>
  <si>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</si>
  <si>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</si>
  <si>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</si>
  <si>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</si>
  <si>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</si>
  <si>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</si>
  <si>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</si>
  <si>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</si>
  <si>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</si>
  <si>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</si>
  <si>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</si>
  <si>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</si>
  <si>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</si>
  <si>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</si>
  <si>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</si>
  <si>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</si>
  <si>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</si>
  <si>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</si>
  <si>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</si>
  <si>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</si>
  <si>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</si>
  <si>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</si>
  <si>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</si>
  <si>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</si>
  <si>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</si>
  <si>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</si>
  <si>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</si>
  <si>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</si>
  <si>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</si>
  <si>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</si>
  <si>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</si>
  <si>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</si>
  <si>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</si>
  <si>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</si>
  <si>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</si>
  <si>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</si>
  <si>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</si>
  <si>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</si>
  <si>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</si>
  <si>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</si>
  <si>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</si>
  <si>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</si>
  <si>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</si>
  <si>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</si>
  <si>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</si>
  <si>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</si>
  <si>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</si>
  <si>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</si>
  <si>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</si>
  <si>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</si>
  <si>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</si>
  <si>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</si>
  <si>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</si>
  <si>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</si>
  <si>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</si>
  <si>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</si>
  <si>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</si>
  <si>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</si>
  <si>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</si>
  <si>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</si>
  <si>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</si>
  <si>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</si>
  <si>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</si>
  <si>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</si>
  <si>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</si>
  <si>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</si>
  <si>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</si>
  <si>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</si>
  <si>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</si>
  <si>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</si>
  <si>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</si>
  <si>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</si>
  <si>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</si>
  <si>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</si>
  <si>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</si>
  <si>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</si>
  <si>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</si>
  <si>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</si>
  <si>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</si>
  <si>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</si>
  <si>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</si>
  <si>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</si>
  <si>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</si>
  <si>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</si>
  <si>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</si>
  <si>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</si>
  <si>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</si>
  <si>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</si>
  <si>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</si>
  <si>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</si>
  <si>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</si>
  <si>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</si>
  <si>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</si>
  <si>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</si>
  <si>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</si>
  <si>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</si>
  <si>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</si>
  <si>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</si>
  <si>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</si>
  <si>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</si>
  <si>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</si>
  <si>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</si>
  <si>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</si>
  <si>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</si>
  <si>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</si>
  <si>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</si>
  <si>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</si>
  <si>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</si>
  <si>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</si>
  <si>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</si>
  <si>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</si>
  <si>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</si>
  <si>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</si>
  <si>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</si>
  <si>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</si>
  <si>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</si>
  <si>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</si>
  <si>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</si>
  <si>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</si>
  <si>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</si>
  <si>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</si>
  <si>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</si>
  <si>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</si>
  <si>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</si>
  <si>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</si>
  <si>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</si>
  <si>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</si>
  <si>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</si>
  <si>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</si>
  <si>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</si>
  <si>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</si>
  <si>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</si>
  <si>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</si>
  <si>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</si>
  <si>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</si>
  <si>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</si>
  <si>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</si>
  <si>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</si>
  <si>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</si>
  <si>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</si>
  <si>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</si>
  <si>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</si>
  <si>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</si>
  <si>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</si>
  <si>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</si>
  <si>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</si>
  <si>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</si>
  <si>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</si>
  <si>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</si>
  <si>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</si>
  <si>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</si>
  <si>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</si>
  <si>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</si>
  <si>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</si>
  <si>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</si>
  <si>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</si>
  <si>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</si>
  <si>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</si>
  <si>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</si>
  <si>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</si>
  <si>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</si>
  <si>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</si>
  <si>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</si>
  <si>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</si>
  <si>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</si>
  <si>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</si>
  <si>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</si>
  <si>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</si>
  <si>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</si>
  <si>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</si>
  <si>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</si>
  <si>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</si>
  <si>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</si>
  <si>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</si>
  <si>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</si>
  <si>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</si>
  <si>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</si>
  <si>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</si>
  <si>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</si>
  <si>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</si>
  <si>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</si>
  <si>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</si>
  <si>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</si>
  <si>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</si>
  <si>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</si>
  <si>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</si>
  <si>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</si>
  <si>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</si>
  <si>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</si>
  <si>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</si>
  <si>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</si>
  <si>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</si>
  <si>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</si>
  <si>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</si>
  <si>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</si>
  <si>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</si>
  <si>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</si>
  <si>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</si>
  <si>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</si>
  <si>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</si>
  <si>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</si>
  <si>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</si>
  <si>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</si>
  <si>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</si>
  <si>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</si>
  <si>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</si>
  <si>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</si>
  <si>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</si>
  <si>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</si>
  <si>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</si>
  <si>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</si>
  <si>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</si>
  <si>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</si>
  <si>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</si>
  <si>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</si>
  <si>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</si>
  <si>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</si>
  <si>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</si>
  <si>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</si>
  <si>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</si>
  <si>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</si>
  <si>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</si>
  <si>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</si>
  <si>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</si>
  <si>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</si>
  <si>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</si>
  <si>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</si>
  <si>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</si>
  <si>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</si>
  <si>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</si>
  <si>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</si>
  <si>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</si>
  <si>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</si>
  <si>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</si>
  <si>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</si>
  <si>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</si>
  <si>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</si>
  <si>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</si>
  <si>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</si>
  <si>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</si>
  <si>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</si>
  <si>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</si>
  <si>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</si>
  <si>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</si>
  <si>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</si>
  <si>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</si>
  <si>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</si>
  <si>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</si>
  <si>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</si>
  <si>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</si>
  <si>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</si>
  <si>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</si>
  <si>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</si>
  <si>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</si>
  <si>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</si>
  <si>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</si>
  <si>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</si>
  <si>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</si>
  <si>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</si>
  <si>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</si>
  <si>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</si>
  <si>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</si>
  <si>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</si>
  <si>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</si>
  <si>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</si>
  <si>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</si>
  <si>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</si>
  <si>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</si>
  <si>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</si>
  <si>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</si>
  <si>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</si>
  <si>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</si>
  <si>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</si>
  <si>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</si>
  <si>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</si>
  <si>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</si>
  <si>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</si>
  <si>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</si>
  <si>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</si>
  <si>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</si>
  <si>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</si>
  <si>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</si>
  <si>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</si>
  <si>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</si>
  <si>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</si>
  <si>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</si>
  <si>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</si>
  <si>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</si>
  <si>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</si>
  <si>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</si>
  <si>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</si>
  <si>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</si>
  <si>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</si>
  <si>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</si>
  <si>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</si>
  <si>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</si>
  <si>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</si>
  <si>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</si>
  <si>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</si>
  <si>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</si>
  <si>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</si>
  <si>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</si>
  <si>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</si>
  <si>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</si>
  <si>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</si>
  <si>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</si>
  <si>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</si>
  <si>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</si>
  <si>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</si>
  <si>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</si>
  <si>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</si>
  <si>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</si>
  <si>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</si>
  <si>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</si>
  <si>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</si>
  <si>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</si>
  <si>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</si>
  <si>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</si>
  <si>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</si>
  <si>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</si>
  <si>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</si>
  <si>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</si>
  <si>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</si>
  <si>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</si>
  <si>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</si>
  <si>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</si>
  <si>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</si>
  <si>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</si>
  <si>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</si>
  <si>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</si>
  <si>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</si>
  <si>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</si>
  <si>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</si>
  <si>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</si>
  <si>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</si>
  <si>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</si>
  <si>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</si>
  <si>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</si>
  <si>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</si>
  <si>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</si>
  <si>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</si>
  <si>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</si>
  <si>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</si>
  <si>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</si>
  <si>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</si>
  <si>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</si>
  <si>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</si>
  <si>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</si>
  <si>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</si>
  <si>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</si>
  <si>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</si>
  <si>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</si>
  <si>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</si>
  <si>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</si>
  <si>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</si>
  <si>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</si>
  <si>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</si>
  <si>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</si>
  <si>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</si>
  <si>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</si>
  <si>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</si>
  <si>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</si>
  <si>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</si>
  <si>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</si>
  <si>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</si>
  <si>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</si>
  <si>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</si>
  <si>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</si>
  <si>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</si>
  <si>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</si>
  <si>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</si>
  <si>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</si>
  <si>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</si>
  <si>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</si>
  <si>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</si>
  <si>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</si>
  <si>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</si>
  <si>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</si>
  <si>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</si>
  <si>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</si>
  <si>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</si>
  <si>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</si>
  <si>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</si>
  <si>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</si>
  <si>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</si>
  <si>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</si>
  <si>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</si>
  <si>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</si>
  <si>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</si>
  <si>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</si>
  <si>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</si>
  <si>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</si>
  <si>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</si>
  <si>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</si>
  <si>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</si>
  <si>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</si>
  <si>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</si>
  <si>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</si>
  <si>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</si>
  <si>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</si>
  <si>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</si>
  <si>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</si>
  <si>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</si>
  <si>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</si>
  <si>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</si>
  <si>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</si>
  <si>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</si>
  <si>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</si>
  <si>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</si>
  <si>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</si>
  <si>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</si>
  <si>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</si>
  <si>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</si>
  <si>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</si>
  <si>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</si>
  <si>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</si>
  <si>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</si>
  <si>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</si>
  <si>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</si>
  <si>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</si>
  <si>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</si>
  <si>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</si>
  <si>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</si>
  <si>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</si>
  <si>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</si>
  <si>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</si>
  <si>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</si>
  <si>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</si>
  <si>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</si>
  <si>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</si>
  <si>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</si>
  <si>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</si>
  <si>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</si>
  <si>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</si>
  <si>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</si>
  <si>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</si>
  <si>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</si>
  <si>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</si>
  <si>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</si>
  <si>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</si>
  <si>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</si>
  <si>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</si>
  <si>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</si>
  <si>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</si>
  <si>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</si>
  <si>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</si>
  <si>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</si>
  <si>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</si>
  <si>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</si>
  <si>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</si>
  <si>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</si>
  <si>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</si>
  <si>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</si>
  <si>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</si>
  <si>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</si>
  <si>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</si>
  <si>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</si>
  <si>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</si>
  <si>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</si>
  <si>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</si>
  <si>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</si>
  <si>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</si>
  <si>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</si>
  <si>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</si>
  <si>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</si>
  <si>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</si>
  <si>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</si>
  <si>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</si>
  <si>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</si>
  <si>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</si>
  <si>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</si>
  <si>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</si>
  <si>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</si>
  <si>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</si>
  <si>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</si>
  <si>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</si>
  <si>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</si>
  <si>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</si>
  <si>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</si>
  <si>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</si>
  <si>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</si>
  <si>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</si>
  <si>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</si>
  <si>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</si>
  <si>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</si>
  <si>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</si>
  <si>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</si>
  <si>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</si>
  <si>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</si>
  <si>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</si>
  <si>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</si>
  <si>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</si>
  <si>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</si>
  <si>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</si>
  <si>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</si>
  <si>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</si>
  <si>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</si>
  <si>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</si>
  <si>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</si>
  <si>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</si>
  <si>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</si>
  <si>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</si>
  <si>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</si>
  <si>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</si>
  <si>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</si>
  <si>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</si>
  <si>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</si>
  <si>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</si>
  <si>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</si>
  <si>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</si>
  <si>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</si>
  <si>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</si>
  <si>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</si>
  <si>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</si>
  <si>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</si>
  <si>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</si>
  <si>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</si>
  <si>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</si>
  <si>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</si>
  <si>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</si>
  <si>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</si>
  <si>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</si>
  <si>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</si>
  <si>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</si>
  <si>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</si>
  <si>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</si>
  <si>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</si>
  <si>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</si>
  <si>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</si>
  <si>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</si>
  <si>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</si>
  <si>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</si>
  <si>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</si>
  <si>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</si>
  <si>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</si>
  <si>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</si>
  <si>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</si>
  <si>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</si>
  <si>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</si>
  <si>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</si>
  <si>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</si>
  <si>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</si>
  <si>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</si>
  <si>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</si>
  <si>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</si>
  <si>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</si>
  <si>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</si>
  <si>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</si>
  <si>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</si>
  <si>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</si>
  <si>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</si>
  <si>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</si>
  <si>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</si>
  <si>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</si>
  <si>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</si>
  <si>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</si>
  <si>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</si>
  <si>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</si>
  <si>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</si>
  <si>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</si>
  <si>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</si>
  <si>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</si>
  <si>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</si>
  <si>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</si>
  <si>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</si>
  <si>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</si>
  <si>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</si>
  <si>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</si>
  <si>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</si>
  <si>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</si>
  <si>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</si>
  <si>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</si>
  <si>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</si>
  <si>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</si>
  <si>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</si>
  <si>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</si>
  <si>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</si>
  <si>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</si>
  <si>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</si>
  <si>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</si>
  <si>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</si>
  <si>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</si>
  <si>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</si>
  <si>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</si>
  <si>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</si>
  <si>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</si>
  <si>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</si>
  <si>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</si>
  <si>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</si>
  <si>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</si>
  <si>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</si>
  <si>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</si>
  <si>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</si>
  <si>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</si>
  <si>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</si>
  <si>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</si>
  <si>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</si>
  <si>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</si>
  <si>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</si>
  <si>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</si>
  <si>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</si>
  <si>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</si>
  <si>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</si>
  <si>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</si>
  <si>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</si>
  <si>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</si>
  <si>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</si>
  <si>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</si>
  <si>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</si>
  <si>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</si>
  <si>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</si>
  <si>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</si>
  <si>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</si>
  <si>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</si>
  <si>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</si>
  <si>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</si>
  <si>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</si>
  <si>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</si>
  <si>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</si>
  <si>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</si>
  <si>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</si>
  <si>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</si>
  <si>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</si>
  <si>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</si>
  <si>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</si>
  <si>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</si>
  <si>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</si>
  <si>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</si>
  <si>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</si>
  <si>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</si>
  <si>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</si>
  <si>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</si>
  <si>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</si>
  <si>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</si>
  <si>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</si>
  <si>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</si>
  <si>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</si>
  <si>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</si>
  <si>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</si>
  <si>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</si>
  <si>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</si>
  <si>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</si>
  <si>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</si>
  <si>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</si>
  <si>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</si>
  <si>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</si>
  <si>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</si>
  <si>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</si>
  <si>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</si>
  <si>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</si>
  <si>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</si>
  <si>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</si>
  <si>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</si>
  <si>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</si>
  <si>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</si>
  <si>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</si>
  <si>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</si>
  <si>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</si>
  <si>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</si>
  <si>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</si>
  <si>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</si>
  <si>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</si>
  <si>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</si>
  <si>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</si>
  <si>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</si>
  <si>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</si>
  <si>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</si>
  <si>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</si>
  <si>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</si>
  <si>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</si>
  <si>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</si>
  <si>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</si>
  <si>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</si>
  <si>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</si>
  <si>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</si>
  <si>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</si>
  <si>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</si>
  <si>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</si>
  <si>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</si>
  <si>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</si>
  <si>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</si>
  <si>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</si>
  <si>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</si>
  <si>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</si>
  <si>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</si>
  <si>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</si>
  <si>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</si>
  <si>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</si>
  <si>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</si>
  <si>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</si>
  <si>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</si>
  <si>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</si>
  <si>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</si>
  <si>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</si>
  <si>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</si>
  <si>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</si>
  <si>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</si>
  <si>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</si>
  <si>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</si>
  <si>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</si>
  <si>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</si>
  <si>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</si>
  <si>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</si>
  <si>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</si>
  <si>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</si>
  <si>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</si>
  <si>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</si>
  <si>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</si>
  <si>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</si>
  <si>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</si>
  <si>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</si>
  <si>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</si>
  <si>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</si>
  <si>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</si>
  <si>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</si>
  <si>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</si>
  <si>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</si>
  <si>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</si>
  <si>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</si>
  <si>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</si>
  <si>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</si>
  <si>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</si>
  <si>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</si>
  <si>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</si>
  <si>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</si>
  <si>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</si>
  <si>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</si>
  <si>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</si>
  <si>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</si>
  <si>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</si>
  <si>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</si>
  <si>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</si>
  <si>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</si>
  <si>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</si>
  <si>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</si>
  <si>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</si>
  <si>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</si>
  <si>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</si>
  <si>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</si>
  <si>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</si>
  <si>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</si>
  <si>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</si>
  <si>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</si>
  <si>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</si>
  <si>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</si>
  <si>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</si>
  <si>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</si>
  <si>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</si>
  <si>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</si>
  <si>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</si>
  <si>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</si>
  <si>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</si>
  <si>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</si>
  <si>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</si>
  <si>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</si>
  <si>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</si>
  <si>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</si>
  <si>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</si>
  <si>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</si>
  <si>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</si>
  <si>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</si>
  <si>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</si>
  <si>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</si>
  <si>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</si>
  <si>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</si>
  <si>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</si>
  <si>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</si>
  <si>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</si>
  <si>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</si>
  <si>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</si>
  <si>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</si>
  <si>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</si>
  <si>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</si>
  <si>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</si>
  <si>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</si>
  <si>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</si>
  <si>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</si>
  <si>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</si>
  <si>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</si>
  <si>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</si>
  <si>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</si>
  <si>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</si>
  <si>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</si>
  <si>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</si>
  <si>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</si>
  <si>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</si>
  <si>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</si>
  <si>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</si>
  <si>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</si>
  <si>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</si>
  <si>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</si>
  <si>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</si>
  <si>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</si>
  <si>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</si>
  <si>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</si>
  <si>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</si>
  <si>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</si>
  <si>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</si>
  <si>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</si>
  <si>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</si>
  <si>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</si>
  <si>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</si>
  <si>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</si>
  <si>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</si>
  <si>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</si>
  <si>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</si>
  <si>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</si>
  <si>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</si>
  <si>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</si>
  <si>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</si>
  <si>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</si>
  <si>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</si>
  <si>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</si>
  <si>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</si>
  <si>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</si>
  <si>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</si>
  <si>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</si>
  <si>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</si>
  <si>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</si>
  <si>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</si>
  <si>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</si>
  <si>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</si>
  <si>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</si>
  <si>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</si>
  <si>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</si>
  <si>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</si>
  <si>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</si>
  <si>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</si>
  <si>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</si>
  <si>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</si>
  <si>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</si>
  <si>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</si>
  <si>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</si>
  <si>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</si>
  <si>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</si>
  <si>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</si>
  <si>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</si>
  <si>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</si>
  <si>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</si>
  <si>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</si>
  <si>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</si>
  <si>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</si>
  <si>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</si>
  <si>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</si>
  <si>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</si>
  <si>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</si>
  <si>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</si>
  <si>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</si>
  <si>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</si>
  <si>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</si>
  <si>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</si>
  <si>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</si>
  <si>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</si>
  <si>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</si>
  <si>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</si>
  <si>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</si>
  <si>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</si>
  <si>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</si>
  <si>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</si>
  <si>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</si>
  <si>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</si>
  <si>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</si>
  <si>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</si>
  <si>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</si>
  <si>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</si>
  <si>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</si>
  <si>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</si>
  <si>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</si>
  <si>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</si>
  <si>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</si>
  <si>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</si>
  <si>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</si>
  <si>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</si>
  <si>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</si>
  <si>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</si>
  <si>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</si>
  <si>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</si>
  <si>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</si>
  <si>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</si>
  <si>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</si>
  <si>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</si>
  <si>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</si>
  <si>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</si>
  <si>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</si>
  <si>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</si>
  <si>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</si>
  <si>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</si>
  <si>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</si>
  <si>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</si>
  <si>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</si>
  <si>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</si>
  <si>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</si>
  <si>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</si>
  <si>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</si>
  <si>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</si>
  <si>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</si>
  <si>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</si>
  <si>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</si>
  <si>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</si>
  <si>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</si>
  <si>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</si>
  <si>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</si>
  <si>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</si>
  <si>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</si>
  <si>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</si>
  <si>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</si>
  <si>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</si>
  <si>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</si>
  <si>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</si>
  <si>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</si>
  <si>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</si>
  <si>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</si>
  <si>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</si>
  <si>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</si>
  <si>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</si>
  <si>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</si>
  <si>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</si>
  <si>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</si>
  <si>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</si>
  <si>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</si>
  <si>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</si>
  <si>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</si>
  <si>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</si>
  <si>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</si>
  <si>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</si>
  <si>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</si>
  <si>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</si>
  <si>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</si>
  <si>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</si>
  <si>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</si>
  <si>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</si>
  <si>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</si>
  <si>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</si>
  <si>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</si>
  <si>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</si>
  <si>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</si>
  <si>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</si>
  <si>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</si>
  <si>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</si>
  <si>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</si>
  <si>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</si>
  <si>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</si>
  <si>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</si>
  <si>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</si>
  <si>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</si>
  <si>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</si>
  <si>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</si>
  <si>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</si>
  <si>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</si>
  <si>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</si>
  <si>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</si>
  <si>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</si>
  <si>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</si>
  <si>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</si>
  <si>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</si>
  <si>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</si>
  <si>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</si>
  <si>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</si>
  <si>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</si>
  <si>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</si>
  <si>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</si>
  <si>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</si>
  <si>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</si>
  <si>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</si>
  <si>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</si>
  <si>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</si>
  <si>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</si>
  <si>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</si>
  <si>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</si>
  <si>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</si>
  <si>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</si>
  <si>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</si>
  <si>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</si>
  <si>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</si>
  <si>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</si>
  <si>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</si>
  <si>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</si>
  <si>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</si>
  <si>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</si>
  <si>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</si>
  <si>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</si>
  <si>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</si>
  <si>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</si>
  <si>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</si>
  <si>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</si>
  <si>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</si>
  <si>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</si>
  <si>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</si>
  <si>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</si>
  <si>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</si>
  <si>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</si>
  <si>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</si>
  <si>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</si>
  <si>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</si>
  <si>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</si>
  <si>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</si>
  <si>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</si>
  <si>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</si>
  <si>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</si>
  <si>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</si>
  <si>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</si>
  <si>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</si>
  <si>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</si>
  <si>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</si>
  <si>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</si>
  <si>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</si>
  <si>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</si>
  <si>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</si>
  <si>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</si>
  <si>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</si>
  <si>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</si>
  <si>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</si>
  <si>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</si>
  <si>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</si>
  <si>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</si>
  <si>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</si>
  <si>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</si>
  <si>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</si>
  <si>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</si>
  <si>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</si>
  <si>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</si>
  <si>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</si>
  <si>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</si>
  <si>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</si>
  <si>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</si>
  <si>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</si>
  <si>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</si>
  <si>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</si>
  <si>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</si>
  <si>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</si>
  <si>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</si>
  <si>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</si>
  <si>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</si>
  <si>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</si>
  <si>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</si>
  <si>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</si>
  <si>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</si>
  <si>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</si>
  <si>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</si>
  <si>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</si>
  <si>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</si>
  <si>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</si>
  <si>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</si>
  <si>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</si>
  <si>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</si>
  <si>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</si>
  <si>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</si>
  <si>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</si>
  <si>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</si>
  <si>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</si>
  <si>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</si>
  <si>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</si>
  <si>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</si>
  <si>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</si>
  <si>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</si>
  <si>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</si>
  <si>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</si>
  <si>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</si>
  <si>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</si>
  <si>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</si>
  <si>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</si>
  <si>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</si>
  <si>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</si>
  <si>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</si>
  <si>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</si>
  <si>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</si>
  <si>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</si>
  <si>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</si>
  <si>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</si>
  <si>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</si>
  <si>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</si>
  <si>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</si>
  <si>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</si>
  <si>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</si>
  <si>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</si>
  <si>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</si>
  <si>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</si>
  <si>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</si>
  <si>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</si>
  <si>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</si>
  <si>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</si>
  <si>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</si>
  <si>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</si>
  <si>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</si>
  <si>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</si>
  <si>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</si>
  <si>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</si>
  <si>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</si>
  <si>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</si>
  <si>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</si>
  <si>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</si>
  <si>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</si>
  <si>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</si>
  <si>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</si>
  <si>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</si>
  <si>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</si>
  <si>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</si>
  <si>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</si>
  <si>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</si>
  <si>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</si>
  <si>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</si>
  <si>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</si>
  <si>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</si>
  <si>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</si>
  <si>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</si>
  <si>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</si>
  <si>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</si>
  <si>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</si>
  <si>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</si>
  <si>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</si>
  <si>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</si>
  <si>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</si>
  <si>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</si>
  <si>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</si>
  <si>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</si>
  <si>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</si>
  <si>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</si>
  <si>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</si>
  <si>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</si>
  <si>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</si>
  <si>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</si>
  <si>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</si>
  <si>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</si>
  <si>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</si>
  <si>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</si>
  <si>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</si>
  <si>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</si>
  <si>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</si>
  <si>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</si>
  <si>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</si>
  <si>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</si>
  <si>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</si>
  <si>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</si>
  <si>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</si>
  <si>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</si>
  <si>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</si>
  <si>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</si>
  <si>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</si>
  <si>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</si>
  <si>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</si>
  <si>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</si>
  <si>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</si>
  <si>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</si>
  <si>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</si>
  <si>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</si>
  <si>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</si>
  <si>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</si>
  <si>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</si>
  <si>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</si>
  <si>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</si>
  <si>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</si>
  <si>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</si>
  <si>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</si>
  <si>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</si>
  <si>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</si>
  <si>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</si>
  <si>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</si>
  <si>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</si>
  <si>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</si>
  <si>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</si>
  <si>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</si>
  <si>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</si>
  <si>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</si>
  <si>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</si>
  <si>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</si>
  <si>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</si>
  <si>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</si>
  <si>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</si>
  <si>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</si>
  <si>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</si>
  <si>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</si>
  <si>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</si>
  <si>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</si>
  <si>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</si>
  <si>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</si>
  <si>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</si>
  <si>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</si>
  <si>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</si>
  <si>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</si>
  <si>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</si>
  <si>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</si>
  <si>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</si>
  <si>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</si>
  <si>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</si>
  <si>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</si>
  <si>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</si>
  <si>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</si>
  <si>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</si>
  <si>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</si>
  <si>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</si>
  <si>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</si>
  <si>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</si>
  <si>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</si>
  <si>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</si>
  <si>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</si>
  <si>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</si>
  <si>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</si>
  <si>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</si>
  <si>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</si>
  <si>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</si>
  <si>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</si>
  <si>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</si>
  <si>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</si>
  <si>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</si>
  <si>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</si>
  <si>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</si>
  <si>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</si>
  <si>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</si>
  <si>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</si>
  <si>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</si>
  <si>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</si>
  <si>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</si>
  <si>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</si>
  <si>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</si>
  <si>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</si>
  <si>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</si>
  <si>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</si>
  <si>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</si>
  <si>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</si>
  <si>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</si>
  <si>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</si>
  <si>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</si>
  <si>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</si>
  <si>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</si>
  <si>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</si>
  <si>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</si>
  <si>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</si>
  <si>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</si>
  <si>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</si>
  <si>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</si>
  <si>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</si>
  <si>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</si>
  <si>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</si>
  <si>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</si>
  <si>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</si>
  <si>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</si>
  <si>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</si>
  <si>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</si>
  <si>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</si>
  <si>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</si>
  <si>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</si>
  <si>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</si>
  <si>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</si>
  <si>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</si>
  <si>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</si>
  <si>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</si>
  <si>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</si>
  <si>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</si>
  <si>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</si>
  <si>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</si>
  <si>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</si>
  <si>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</si>
  <si>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</si>
  <si>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</si>
  <si>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</si>
  <si>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</si>
  <si>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</si>
  <si>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</si>
  <si>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</si>
  <si>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</si>
  <si>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</si>
  <si>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</si>
  <si>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</si>
  <si>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</si>
  <si>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</si>
  <si>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</si>
  <si>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</si>
  <si>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</si>
  <si>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</si>
  <si>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</si>
  <si>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</si>
  <si>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</si>
  <si>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</si>
  <si>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</si>
  <si>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</si>
  <si>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</si>
  <si>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</si>
  <si>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</si>
  <si>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</si>
  <si>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</si>
  <si>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</si>
  <si>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</si>
  <si>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</si>
  <si>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</si>
  <si>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</si>
  <si>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</si>
  <si>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</si>
  <si>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</si>
  <si>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</si>
  <si>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</si>
  <si>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</si>
  <si>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</si>
  <si>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</si>
  <si>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</si>
  <si>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</si>
  <si>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</si>
  <si>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</si>
  <si>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</si>
  <si>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</si>
  <si>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</si>
  <si>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</si>
  <si>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</si>
  <si>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</si>
  <si>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</si>
  <si>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</si>
  <si>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</si>
  <si>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</si>
  <si>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</si>
  <si>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</si>
  <si>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</si>
  <si>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</si>
  <si>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</si>
  <si>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</si>
  <si>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</si>
  <si>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</si>
  <si>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</si>
  <si>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</si>
  <si>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</si>
  <si>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</si>
  <si>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</si>
  <si>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</si>
  <si>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</si>
  <si>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</si>
  <si>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</si>
  <si>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</si>
  <si>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</si>
  <si>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</si>
  <si>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</si>
  <si>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</si>
  <si>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</si>
  <si>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</si>
  <si>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</si>
  <si>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</si>
  <si>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</si>
  <si>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</si>
  <si>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</si>
  <si>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</si>
  <si>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</si>
  <si>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</si>
  <si>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</si>
  <si>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</si>
  <si>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</si>
  <si>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</si>
  <si>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</si>
  <si>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</si>
  <si>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</si>
  <si>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</si>
  <si>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</si>
  <si>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</si>
  <si>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</si>
  <si>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</si>
  <si>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</si>
  <si>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</si>
  <si>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</si>
  <si>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</si>
  <si>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</si>
  <si>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</si>
  <si>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</si>
  <si>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</si>
  <si>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</si>
  <si>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</si>
  <si>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</si>
  <si>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</si>
  <si>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</si>
  <si>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</si>
  <si>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</si>
  <si>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</si>
  <si>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</si>
  <si>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</si>
  <si>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</si>
  <si>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</si>
  <si>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</si>
  <si>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</si>
  <si>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</si>
  <si>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</si>
  <si>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</si>
  <si>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</si>
  <si>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</si>
  <si>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</si>
  <si>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</si>
  <si>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</si>
  <si>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</si>
  <si>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</si>
  <si>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</si>
  <si>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</si>
  <si>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</si>
  <si>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</si>
  <si>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</si>
  <si>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</si>
  <si>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</si>
  <si>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</si>
  <si>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</si>
  <si>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</si>
  <si>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</si>
  <si>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</si>
  <si>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</si>
  <si>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</si>
  <si>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</si>
  <si>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</si>
  <si>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</si>
  <si>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</si>
  <si>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</si>
  <si>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</si>
  <si>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</si>
  <si>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</si>
  <si>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</si>
  <si>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</si>
  <si>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</si>
  <si>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</si>
  <si>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</si>
  <si>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</si>
  <si>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</si>
  <si>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</si>
  <si>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</si>
  <si>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</si>
  <si>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</si>
  <si>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</si>
  <si>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</si>
  <si>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</si>
  <si>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</si>
  <si>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</si>
  <si>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</si>
  <si>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</si>
  <si>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</si>
  <si>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</si>
  <si>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</si>
  <si>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</si>
  <si>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</si>
  <si>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</si>
  <si>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</si>
  <si>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</si>
  <si>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</si>
  <si>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</si>
  <si>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</si>
  <si>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</si>
  <si>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</si>
  <si>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</si>
  <si>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</si>
  <si>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</si>
  <si>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</si>
  <si>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</si>
  <si>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</si>
  <si>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</si>
  <si>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</si>
  <si>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</si>
  <si>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</si>
  <si>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</si>
  <si>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</si>
  <si>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</si>
  <si>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</si>
  <si>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</si>
  <si>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</si>
  <si>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</si>
  <si>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</si>
  <si>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</si>
  <si>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</si>
  <si>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</si>
  <si>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</si>
  <si>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</si>
  <si>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</si>
  <si>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</si>
  <si>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</si>
  <si>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</si>
  <si>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</si>
  <si>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</si>
  <si>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</si>
  <si>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</si>
  <si>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</si>
  <si>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</si>
  <si>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</si>
  <si>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</si>
  <si>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</si>
  <si>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</si>
  <si>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</si>
  <si>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</si>
  <si>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</si>
  <si>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</si>
  <si>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</si>
  <si>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</si>
  <si>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</si>
  <si>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</si>
  <si>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</si>
  <si>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</si>
  <si>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</si>
  <si>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</si>
  <si>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</si>
  <si>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</si>
  <si>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</si>
  <si>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</si>
  <si>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</si>
  <si>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</si>
  <si>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</si>
  <si>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</si>
  <si>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</si>
  <si>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</si>
  <si>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</si>
  <si>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</si>
  <si>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</si>
  <si>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</si>
  <si>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</si>
  <si>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</si>
  <si>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</si>
  <si>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</si>
  <si>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</si>
  <si>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</si>
  <si>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</si>
  <si>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</si>
  <si>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</si>
  <si>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</si>
  <si>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</si>
  <si>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</si>
  <si>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</si>
  <si>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</si>
  <si>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</si>
  <si>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</si>
  <si>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</si>
  <si>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</si>
  <si>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</si>
  <si>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</si>
  <si>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</si>
  <si>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</si>
  <si>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</si>
  <si>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</si>
  <si>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</si>
  <si>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</si>
  <si>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</si>
  <si>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</si>
  <si>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</si>
  <si>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</si>
  <si>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</si>
  <si>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</si>
  <si>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</si>
  <si>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</si>
  <si>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</si>
  <si>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</si>
  <si>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</si>
  <si>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</si>
  <si>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</si>
  <si>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</si>
  <si>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</si>
  <si>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</si>
  <si>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</si>
  <si>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</si>
  <si>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</si>
  <si>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</si>
  <si>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</si>
  <si>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</si>
  <si>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</si>
  <si>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</si>
  <si>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</si>
  <si>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</si>
  <si>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</si>
  <si>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</si>
  <si>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</si>
  <si>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</si>
  <si>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</si>
  <si>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</si>
  <si>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</si>
  <si>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</si>
  <si>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</si>
  <si>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</si>
  <si>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</si>
  <si>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</si>
  <si>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</si>
  <si>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</si>
  <si>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</si>
  <si>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</si>
  <si>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</si>
  <si>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</si>
  <si>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</si>
  <si>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</si>
  <si>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</si>
  <si>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</si>
  <si>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</si>
  <si>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</si>
  <si>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</si>
  <si>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</si>
  <si>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</si>
  <si>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</si>
  <si>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</si>
  <si>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</si>
  <si>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</si>
  <si>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</si>
  <si>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</si>
  <si>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</si>
  <si>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</si>
  <si>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</si>
  <si>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</si>
  <si>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</si>
  <si>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</si>
  <si>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</si>
  <si>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</si>
  <si>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</si>
  <si>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</si>
  <si>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</si>
  <si>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</si>
  <si>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</si>
  <si>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</si>
  <si>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</si>
  <si>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</si>
  <si>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</si>
  <si>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</si>
  <si>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</si>
  <si>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</si>
  <si>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</si>
  <si>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</si>
  <si>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</si>
  <si>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</si>
  <si>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</si>
  <si>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</si>
  <si>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</si>
  <si>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</si>
  <si>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</si>
  <si>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</si>
  <si>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</si>
  <si>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</si>
  <si>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</si>
  <si>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</si>
  <si>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</si>
  <si>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</si>
  <si>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</si>
  <si>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</si>
  <si>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</si>
  <si>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</si>
  <si>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</si>
  <si>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</si>
  <si>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</si>
  <si>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</si>
  <si>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</si>
  <si>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</si>
  <si>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</si>
  <si>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</si>
  <si>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</si>
  <si>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</si>
  <si>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</si>
  <si>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</si>
  <si>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</si>
  <si>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</si>
  <si>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</si>
  <si>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</si>
  <si>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</si>
  <si>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</si>
  <si>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</si>
  <si>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</si>
  <si>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</si>
  <si>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</si>
  <si>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</si>
  <si>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</si>
  <si>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</si>
  <si>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</si>
  <si>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</si>
  <si>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</si>
  <si>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</si>
  <si>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</si>
  <si>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</si>
  <si>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</si>
  <si>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</si>
  <si>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</si>
  <si>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</si>
  <si>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</si>
  <si>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</si>
  <si>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</si>
  <si>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</si>
  <si>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</si>
  <si>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</si>
  <si>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</si>
  <si>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</si>
  <si>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</si>
  <si>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</si>
  <si>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</si>
  <si>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</si>
  <si>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</si>
  <si>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</si>
  <si>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</si>
  <si>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</si>
  <si>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</si>
  <si>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</si>
  <si>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</si>
  <si>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</si>
  <si>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</si>
  <si>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</si>
  <si>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</si>
  <si>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</si>
  <si>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</si>
  <si>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</si>
  <si>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</si>
  <si>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</si>
  <si>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</si>
  <si>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</si>
  <si>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</si>
  <si>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</si>
  <si>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</si>
  <si>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</si>
  <si>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</si>
  <si>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</si>
  <si>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</si>
  <si>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</si>
  <si>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</si>
  <si>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</si>
  <si>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</si>
  <si>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</si>
  <si>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</si>
  <si>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</si>
  <si>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</si>
  <si>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</si>
  <si>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</si>
  <si>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</si>
  <si>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</si>
  <si>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</si>
  <si>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</si>
  <si>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</si>
  <si>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</si>
  <si>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</si>
  <si>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</si>
  <si>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</si>
  <si>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</si>
  <si>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</si>
  <si>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</si>
  <si>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</si>
  <si>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</si>
  <si>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</si>
  <si>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</si>
  <si>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</si>
  <si>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</si>
  <si>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</si>
  <si>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</si>
  <si>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</si>
  <si>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</si>
  <si>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</si>
  <si>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</si>
  <si>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</si>
  <si>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</si>
  <si>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</si>
  <si>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</si>
  <si>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</si>
  <si>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</si>
  <si>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</si>
  <si>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</si>
  <si>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</si>
  <si>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</si>
  <si>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</si>
  <si>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</si>
  <si>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</si>
  <si>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</si>
  <si>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</si>
  <si>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</si>
  <si>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</si>
  <si>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</si>
  <si>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</si>
  <si>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</si>
  <si>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</si>
  <si>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</si>
  <si>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</si>
  <si>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</si>
  <si>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</si>
  <si>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</si>
  <si>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</si>
  <si>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</si>
  <si>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</si>
  <si>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</si>
  <si>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</si>
  <si>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</si>
  <si>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</si>
  <si>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</si>
  <si>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</si>
  <si>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</si>
  <si>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</si>
  <si>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</si>
  <si>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</si>
  <si>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</si>
  <si>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</si>
  <si>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</si>
  <si>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</si>
  <si>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</si>
  <si>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</si>
  <si>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</si>
  <si>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</si>
  <si>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</si>
  <si>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</si>
  <si>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</si>
  <si>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</si>
  <si>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</si>
  <si>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</si>
  <si>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</si>
  <si>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</si>
  <si>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</si>
  <si>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</si>
  <si>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</si>
  <si>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</si>
  <si>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</si>
  <si>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</si>
  <si>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</si>
  <si>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</si>
  <si>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</si>
  <si>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</si>
  <si>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</si>
  <si>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</si>
  <si>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</si>
  <si>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</si>
  <si>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</si>
  <si>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</si>
  <si>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</si>
  <si>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</si>
  <si>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</si>
  <si>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</si>
  <si>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</si>
  <si>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</si>
  <si>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</si>
  <si>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</si>
  <si>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</si>
  <si>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</si>
  <si>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</si>
  <si>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</si>
  <si>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</si>
  <si>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</si>
  <si>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</si>
  <si>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</si>
  <si>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</si>
  <si>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</si>
  <si>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</si>
  <si>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</si>
  <si>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</si>
  <si>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</si>
  <si>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</si>
  <si>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</si>
  <si>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</si>
  <si>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</si>
  <si>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</si>
  <si>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</si>
  <si>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</si>
  <si>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</si>
  <si>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</si>
  <si>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</si>
  <si>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</si>
  <si>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</si>
  <si>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</si>
  <si>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</si>
  <si>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</si>
  <si>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</si>
  <si>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</si>
  <si>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</si>
  <si>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</si>
  <si>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</si>
  <si>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</si>
  <si>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</si>
  <si>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</si>
  <si>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</si>
  <si>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</si>
  <si>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</si>
  <si>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</si>
  <si>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</si>
  <si>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</si>
  <si>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</si>
  <si>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</si>
  <si>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</si>
  <si>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</si>
  <si>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</si>
  <si>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</si>
  <si>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</si>
  <si>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</si>
  <si>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</si>
  <si>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</si>
  <si>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</si>
  <si>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</si>
  <si>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</si>
  <si>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</si>
  <si>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</si>
  <si>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</si>
  <si>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</si>
  <si>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</si>
  <si>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</si>
  <si>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</si>
  <si>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</si>
  <si>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</si>
  <si>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</si>
  <si>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</si>
  <si>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</si>
  <si>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</si>
  <si>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</si>
  <si>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</si>
  <si>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</si>
  <si>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</si>
  <si>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</si>
  <si>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</si>
  <si>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</si>
  <si>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</si>
  <si>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</si>
  <si>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</si>
  <si>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</si>
  <si>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</si>
  <si>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</si>
  <si>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</si>
  <si>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</si>
  <si>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</si>
  <si>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</si>
  <si>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</si>
  <si>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</si>
  <si>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</si>
  <si>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</si>
  <si>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</si>
  <si>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</si>
  <si>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</si>
  <si>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</si>
  <si>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</si>
  <si>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</si>
  <si>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</si>
  <si>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</si>
  <si>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</si>
  <si>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</si>
  <si>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</si>
  <si>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</si>
  <si>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</si>
  <si>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</si>
  <si>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</si>
  <si>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</si>
  <si>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</si>
  <si>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</si>
  <si>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</si>
  <si>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</si>
  <si>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</si>
  <si>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</si>
  <si>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</si>
  <si>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</si>
  <si>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</si>
  <si>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</si>
  <si>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</si>
  <si>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</si>
  <si>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</si>
  <si>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</si>
  <si>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</si>
  <si>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</si>
  <si>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</si>
  <si>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</si>
  <si>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</si>
  <si>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</si>
  <si>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</si>
  <si>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</si>
  <si>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</si>
  <si>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</si>
  <si>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</si>
  <si>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</si>
  <si>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</si>
  <si>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</si>
  <si>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</si>
  <si>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</si>
  <si>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</si>
  <si>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</si>
  <si>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</si>
  <si>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</si>
  <si>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</si>
  <si>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</si>
  <si>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</si>
  <si>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</si>
  <si>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</si>
  <si>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</si>
  <si>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</si>
  <si>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</si>
  <si>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</si>
  <si>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</si>
  <si>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</si>
  <si>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</si>
  <si>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</si>
  <si>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</si>
  <si>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</si>
  <si>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</si>
  <si>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</si>
  <si>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</si>
  <si>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</si>
  <si>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</si>
  <si>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</si>
  <si>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</si>
  <si>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</si>
  <si>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</si>
  <si>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</si>
  <si>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</si>
  <si>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</si>
  <si>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</si>
  <si>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</si>
  <si>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</si>
  <si>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</si>
  <si>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</si>
  <si>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</si>
  <si>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</si>
  <si>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</si>
  <si>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</si>
  <si>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</si>
  <si>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</si>
  <si>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</si>
  <si>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</si>
  <si>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</si>
  <si>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</si>
  <si>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</si>
  <si>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</si>
  <si>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</si>
  <si>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</si>
  <si>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</si>
  <si>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</si>
  <si>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</si>
  <si>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</si>
  <si>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</si>
  <si>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</si>
  <si>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</si>
  <si>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</si>
  <si>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</si>
  <si>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</si>
  <si>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</si>
  <si>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</si>
  <si>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</si>
  <si>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</si>
  <si>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</si>
  <si>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</si>
  <si>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</si>
  <si>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</si>
  <si>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</si>
  <si>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</si>
  <si>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</si>
  <si>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</si>
  <si>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</si>
  <si>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</si>
  <si>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</si>
  <si>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</si>
  <si>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</si>
  <si>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</si>
  <si>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</si>
  <si>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</si>
  <si>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</si>
  <si>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</si>
  <si>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</si>
  <si>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</si>
  <si>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</si>
  <si>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</si>
  <si>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</si>
  <si>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</si>
  <si>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</si>
  <si>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</si>
  <si>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</si>
  <si>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</si>
  <si>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</si>
  <si>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</si>
  <si>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</si>
  <si>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</si>
  <si>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</si>
  <si>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</si>
  <si>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</si>
  <si>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</si>
  <si>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</si>
  <si>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</si>
  <si>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</si>
  <si>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</si>
  <si>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</si>
  <si>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</si>
  <si>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</si>
  <si>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</si>
  <si>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</si>
  <si>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</si>
  <si>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</si>
  <si>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</si>
  <si>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</si>
  <si>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</si>
  <si>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</si>
  <si>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</si>
  <si>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</si>
  <si>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</si>
  <si>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</si>
  <si>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</si>
  <si>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</si>
  <si>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</si>
  <si>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</si>
  <si>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</si>
  <si>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</si>
  <si>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</si>
  <si>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</si>
  <si>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</si>
  <si>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</si>
  <si>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</si>
  <si>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</si>
  <si>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</si>
  <si>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</si>
  <si>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</si>
  <si>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</si>
  <si>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</si>
  <si>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</si>
  <si>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</si>
  <si>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</si>
  <si>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</si>
  <si>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</si>
  <si>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</si>
  <si>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</si>
  <si>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</si>
  <si>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</si>
  <si>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</si>
  <si>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</si>
  <si>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</si>
  <si>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</si>
  <si>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</si>
  <si>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</si>
  <si>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</si>
  <si>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</si>
  <si>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</si>
  <si>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</si>
  <si>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</si>
  <si>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</si>
  <si>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</si>
  <si>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</si>
  <si>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</si>
  <si>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</si>
  <si>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</si>
  <si>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</si>
  <si>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</si>
  <si>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</si>
  <si>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</si>
  <si>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</si>
  <si>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</si>
  <si>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</si>
  <si>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</si>
  <si>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</si>
  <si>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</si>
  <si>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</si>
  <si>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</si>
  <si>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</si>
  <si>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</si>
  <si>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</si>
  <si>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</si>
  <si>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</si>
  <si>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</si>
  <si>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</si>
  <si>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</si>
  <si>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</si>
  <si>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</si>
  <si>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</si>
  <si>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</si>
  <si>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</si>
  <si>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</si>
  <si>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</si>
  <si>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</si>
  <si>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</si>
  <si>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</si>
  <si>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</si>
  <si>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</si>
  <si>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</si>
  <si>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</si>
  <si>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</si>
  <si>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</si>
  <si>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</si>
  <si>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</si>
  <si>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</si>
  <si>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</si>
  <si>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</si>
  <si>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</si>
  <si>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</si>
  <si>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</si>
  <si>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</si>
  <si>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</si>
  <si>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</si>
  <si>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</si>
  <si>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</si>
  <si>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</si>
  <si>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</si>
  <si>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</si>
  <si>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</si>
  <si>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</si>
  <si>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</si>
  <si>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</si>
  <si>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</si>
  <si>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</si>
  <si>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</si>
  <si>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</si>
  <si>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</si>
  <si>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</si>
  <si>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</si>
  <si>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</si>
  <si>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</si>
  <si>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</si>
  <si>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</si>
  <si>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</si>
  <si>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</si>
  <si>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</si>
  <si>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</si>
  <si>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</si>
  <si>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</si>
  <si>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</si>
  <si>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</si>
  <si>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</si>
  <si>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</si>
  <si>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</si>
  <si>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</si>
  <si>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</si>
  <si>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</si>
  <si>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</si>
  <si>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</si>
  <si>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</si>
  <si>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</si>
  <si>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</si>
  <si>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</si>
  <si>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</si>
  <si>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</si>
  <si>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</si>
  <si>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</si>
  <si>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</si>
  <si>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</si>
  <si>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</si>
  <si>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</si>
  <si>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</si>
  <si>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</si>
  <si>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</si>
  <si>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</si>
  <si>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</si>
  <si>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</si>
  <si>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</si>
  <si>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</si>
  <si>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</si>
  <si>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</si>
  <si>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</si>
  <si>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</si>
  <si>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</si>
  <si>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</si>
  <si>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</si>
  <si>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</si>
  <si>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</si>
  <si>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</si>
  <si>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</si>
  <si>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</si>
  <si>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</si>
  <si>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</si>
  <si>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</si>
  <si>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</si>
  <si>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</si>
  <si>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</si>
  <si>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</si>
  <si>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</si>
  <si>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</si>
  <si>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</si>
  <si>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</si>
  <si>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</si>
  <si>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</si>
  <si>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</si>
  <si>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</si>
  <si>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</si>
  <si>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</si>
  <si>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</si>
  <si>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</si>
  <si>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</si>
  <si>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</si>
  <si>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</si>
  <si>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</si>
  <si>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</si>
  <si>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</si>
  <si>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</si>
  <si>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</si>
  <si>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</si>
  <si>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</si>
  <si>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</si>
  <si>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</si>
  <si>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</si>
  <si>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</si>
  <si>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</si>
  <si>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</si>
  <si>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</si>
  <si>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</si>
  <si>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</si>
  <si>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</si>
  <si>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</si>
  <si>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</si>
  <si>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</si>
  <si>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</si>
  <si>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</si>
  <si>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</si>
  <si>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</si>
  <si>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</si>
  <si>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</si>
  <si>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</si>
  <si>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</si>
  <si>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</si>
  <si>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</si>
  <si>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</si>
  <si>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</si>
  <si>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</si>
  <si>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</si>
  <si>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</si>
  <si>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</si>
  <si>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</si>
  <si>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</si>
  <si>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</si>
  <si>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</si>
  <si>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</si>
  <si>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</si>
  <si>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</si>
  <si>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</si>
  <si>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</si>
  <si>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</si>
  <si>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</si>
  <si>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</si>
  <si>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</si>
  <si>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</si>
  <si>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</si>
  <si>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</si>
  <si>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</si>
  <si>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</si>
  <si>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</si>
  <si>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</si>
  <si>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</si>
  <si>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</si>
  <si>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</si>
  <si>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</si>
  <si>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</si>
  <si>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</si>
  <si>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</si>
  <si>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</si>
  <si>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</si>
  <si>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</si>
  <si>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</si>
  <si>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</si>
  <si>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</si>
  <si>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</si>
  <si>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</si>
  <si>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</si>
  <si>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</si>
  <si>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</si>
  <si>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</si>
  <si>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</si>
  <si>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</si>
  <si>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</si>
  <si>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</si>
  <si>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</si>
  <si>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</si>
  <si>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</si>
  <si>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</si>
  <si>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</si>
  <si>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</si>
  <si>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</si>
  <si>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</si>
  <si>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</si>
  <si>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</si>
  <si>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</si>
  <si>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</si>
  <si>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</si>
  <si>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</si>
  <si>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</si>
  <si>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</si>
  <si>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</si>
  <si>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</si>
  <si>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</si>
  <si>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</si>
  <si>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</si>
  <si>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</si>
  <si>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</si>
  <si>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</si>
  <si>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</si>
  <si>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</si>
  <si>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</si>
  <si>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</si>
  <si>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</si>
  <si>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</si>
  <si>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</si>
  <si>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</si>
  <si>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</si>
  <si>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</si>
  <si>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</si>
  <si>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</si>
  <si>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</si>
  <si>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</si>
  <si>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</si>
  <si>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</si>
  <si>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</si>
  <si>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</si>
  <si>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</si>
  <si>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</si>
  <si>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</si>
  <si>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</si>
  <si>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</si>
  <si>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</si>
  <si>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</si>
  <si>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</si>
  <si>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</si>
  <si>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</si>
  <si>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</si>
  <si>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</si>
  <si>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</si>
  <si>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</si>
  <si>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</si>
  <si>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</si>
  <si>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</si>
  <si>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</si>
  <si>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</si>
  <si>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</si>
  <si>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</si>
  <si>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</si>
  <si>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</si>
  <si>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</si>
  <si>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</si>
  <si>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</si>
  <si>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</si>
  <si>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</si>
  <si>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</si>
  <si>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</si>
  <si>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</si>
  <si>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</si>
  <si>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</si>
  <si>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</si>
  <si>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</si>
  <si>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</si>
  <si>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</si>
  <si>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</si>
  <si>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</si>
  <si>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</si>
  <si>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</si>
  <si>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</si>
  <si>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</si>
  <si>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</si>
  <si>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</si>
  <si>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</si>
  <si>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</si>
  <si>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</si>
  <si>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</si>
  <si>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</si>
  <si>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</si>
  <si>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</si>
  <si>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</si>
  <si>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</si>
  <si>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</si>
  <si>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</si>
  <si>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</si>
  <si>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</si>
  <si>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</si>
  <si>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</si>
  <si>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</si>
  <si>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</si>
  <si>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</si>
  <si>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</si>
  <si>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</si>
  <si>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</si>
  <si>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</si>
  <si>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</si>
  <si>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</si>
  <si>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</si>
  <si>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</si>
  <si>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</si>
  <si>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</si>
  <si>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</si>
  <si>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</si>
  <si>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</si>
  <si>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</si>
  <si>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</si>
  <si>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</si>
  <si>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</si>
  <si>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</si>
  <si>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</si>
  <si>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</si>
  <si>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</si>
  <si>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</si>
  <si>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</si>
  <si>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</si>
  <si>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</si>
  <si>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</si>
  <si>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</si>
  <si>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</si>
  <si>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</si>
  <si>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</si>
  <si>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</si>
  <si>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</si>
  <si>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</si>
  <si>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</si>
  <si>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</si>
  <si>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</si>
  <si>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</si>
  <si>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</si>
  <si>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</si>
  <si>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</si>
  <si>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</si>
  <si>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</si>
  <si>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</si>
  <si>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</si>
  <si>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</si>
  <si>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</si>
  <si>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</si>
  <si>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</si>
  <si>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</si>
  <si>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</si>
  <si>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</si>
  <si>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</si>
  <si>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</si>
  <si>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</si>
  <si>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</si>
  <si>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</si>
  <si>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</si>
  <si>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</si>
  <si>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</si>
  <si>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</si>
  <si>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</si>
  <si>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</si>
  <si>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</si>
  <si>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</si>
  <si>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</si>
  <si>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</si>
  <si>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</si>
  <si>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</si>
  <si>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</si>
  <si>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</si>
  <si>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</si>
  <si>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</si>
  <si>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</si>
  <si>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</si>
  <si>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</si>
  <si>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</si>
  <si>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</si>
  <si>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</si>
  <si>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</si>
  <si>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</si>
  <si>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</si>
  <si>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</si>
  <si>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</si>
  <si>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</si>
  <si>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</si>
  <si>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</si>
  <si>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</si>
  <si>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</si>
  <si>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</si>
  <si>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</si>
  <si>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</si>
  <si>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</si>
  <si>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</si>
  <si>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</si>
  <si>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</si>
  <si>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</si>
  <si>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</si>
  <si>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</si>
  <si>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</si>
  <si>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</si>
  <si>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</si>
  <si>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</si>
  <si>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</si>
  <si>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</si>
  <si>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</si>
  <si>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</si>
  <si>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</si>
  <si>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</si>
  <si>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</si>
  <si>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</si>
  <si>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</si>
  <si>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</si>
  <si>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</si>
  <si>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</si>
  <si>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</si>
  <si>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</si>
  <si>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</si>
  <si>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</si>
  <si>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</si>
  <si>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</si>
  <si>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</si>
  <si>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</si>
  <si>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</si>
  <si>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</si>
  <si>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</si>
  <si>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</si>
  <si>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</si>
  <si>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</si>
  <si>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</si>
  <si>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</si>
  <si>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</si>
  <si>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</si>
  <si>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</si>
  <si>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</si>
  <si>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</si>
  <si>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</si>
  <si>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</si>
  <si>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</si>
  <si>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</si>
  <si>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</si>
  <si>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</si>
  <si>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</si>
  <si>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</si>
  <si>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</si>
  <si>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</si>
  <si>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</si>
  <si>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</si>
  <si>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</si>
  <si>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</si>
  <si>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</si>
  <si>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</si>
  <si>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</si>
  <si>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</si>
  <si>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</si>
  <si>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</si>
  <si>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</si>
  <si>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</si>
  <si>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</si>
  <si>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</si>
  <si>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</si>
  <si>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</si>
  <si>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</si>
  <si>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</si>
  <si>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</si>
  <si>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</si>
  <si>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</si>
  <si>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</si>
  <si>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</si>
  <si>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</si>
  <si>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</si>
  <si>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</si>
  <si>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</si>
  <si>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</si>
  <si>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</si>
  <si>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</si>
  <si>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</si>
  <si>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</si>
  <si>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</si>
  <si>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</si>
  <si>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</si>
  <si>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</si>
  <si>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</si>
  <si>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</si>
  <si>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</si>
  <si>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</si>
  <si>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</si>
  <si>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</si>
  <si>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</si>
  <si>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</si>
  <si>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</si>
  <si>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</si>
  <si>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</si>
  <si>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</si>
  <si>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</si>
  <si>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</si>
  <si>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</si>
  <si>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</si>
  <si>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</si>
  <si>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</si>
  <si>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</si>
  <si>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</si>
  <si>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</si>
  <si>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</si>
  <si>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</si>
  <si>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</si>
  <si>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</si>
  <si>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</si>
  <si>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</si>
  <si>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</si>
  <si>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</si>
  <si>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</si>
  <si>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</si>
  <si>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</si>
  <si>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</si>
  <si>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</si>
  <si>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</si>
  <si>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</si>
  <si>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</si>
  <si>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</si>
  <si>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</si>
  <si>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</si>
  <si>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</si>
  <si>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</si>
  <si>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</si>
  <si>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</si>
  <si>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</si>
  <si>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</si>
  <si>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</si>
  <si>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</si>
  <si>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</si>
  <si>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</si>
  <si>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</si>
  <si>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</si>
  <si>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</si>
  <si>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</si>
  <si>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</si>
  <si>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</si>
  <si>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</si>
  <si>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</si>
  <si>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</si>
  <si>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</si>
  <si>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</si>
  <si>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</si>
  <si>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</si>
  <si>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</si>
  <si>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</si>
  <si>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</si>
  <si>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</si>
  <si>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</si>
  <si>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</si>
  <si>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</si>
  <si>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</si>
  <si>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</si>
  <si>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</si>
  <si>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</si>
  <si>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</si>
  <si>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</si>
  <si>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</si>
  <si>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</si>
  <si>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</si>
  <si>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</si>
  <si>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</si>
  <si>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</si>
  <si>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</si>
  <si>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</si>
  <si>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</si>
  <si>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</si>
  <si>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</si>
  <si>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</si>
  <si>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</si>
  <si>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</si>
  <si>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</si>
  <si>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</si>
  <si>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</si>
  <si>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</si>
  <si>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</si>
  <si>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</si>
  <si>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</si>
  <si>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</si>
  <si>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</si>
  <si>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</si>
  <si>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</si>
  <si>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</si>
  <si>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</si>
  <si>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</si>
  <si>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</si>
  <si>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</si>
  <si>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</si>
  <si>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</si>
  <si>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</si>
  <si>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</si>
  <si>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</si>
  <si>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</si>
  <si>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</si>
  <si>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</si>
  <si>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</si>
  <si>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</si>
  <si>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</si>
  <si>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</si>
  <si>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</si>
  <si>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</si>
  <si>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</si>
  <si>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</si>
  <si>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</si>
  <si>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</si>
  <si>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</si>
  <si>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</si>
  <si>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</si>
  <si>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</si>
  <si>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</si>
  <si>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</si>
  <si>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</si>
  <si>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</si>
  <si>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</si>
  <si>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</si>
  <si>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</si>
  <si>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</si>
  <si>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</si>
  <si>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</si>
  <si>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所有权人</t>
    <phoneticPr fontId="134" type="noConversion"/>
  </si>
  <si>
    <t>证号</t>
    <phoneticPr fontId="134" type="noConversion"/>
  </si>
  <si>
    <t>坐落</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</si>
  <si>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</si>
  <si>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</si>
  <si>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</si>
  <si>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</si>
  <si>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</si>
  <si>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</si>
  <si>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r>
      <t>京房权证市朝其字第2</t>
    </r>
    <r>
      <rPr>
        <sz val="11"/>
        <color theme="1"/>
        <rFont val="宋体"/>
        <family val="3"/>
        <charset val="134"/>
        <scheme val="minor"/>
      </rPr>
      <t>460077号</t>
    </r>
    <phoneticPr fontId="134" type="noConversion"/>
  </si>
  <si>
    <t>北京远望创业投资有限公司</t>
    <phoneticPr fontId="134" type="noConversion"/>
  </si>
  <si>
    <r>
      <t>朝阳区慧忠路5号B</t>
    </r>
    <r>
      <rPr>
        <sz val="11"/>
        <color theme="1"/>
        <rFont val="宋体"/>
        <family val="3"/>
        <charset val="134"/>
        <scheme val="minor"/>
      </rPr>
      <t>1501.B1502.B1503</t>
    </r>
    <phoneticPr fontId="134" type="noConversion"/>
  </si>
  <si>
    <t>5号</t>
    <phoneticPr fontId="134" type="noConversion"/>
  </si>
  <si>
    <t>B1501</t>
    <phoneticPr fontId="134" type="noConversion"/>
  </si>
  <si>
    <r>
      <t>B</t>
    </r>
    <r>
      <rPr>
        <sz val="11"/>
        <color theme="1"/>
        <rFont val="宋体"/>
        <family val="3"/>
        <charset val="134"/>
        <scheme val="minor"/>
      </rPr>
      <t>1502</t>
    </r>
    <phoneticPr fontId="134" type="noConversion"/>
  </si>
  <si>
    <r>
      <t>B</t>
    </r>
    <r>
      <rPr>
        <sz val="11"/>
        <color theme="1"/>
        <rFont val="宋体"/>
        <family val="3"/>
        <charset val="134"/>
        <scheme val="minor"/>
      </rPr>
      <t>1503</t>
    </r>
    <phoneticPr fontId="134" type="noConversion"/>
  </si>
  <si>
    <t>钢混</t>
    <phoneticPr fontId="134" type="noConversion"/>
  </si>
  <si>
    <t>建成年份</t>
    <phoneticPr fontId="134" type="noConversion"/>
  </si>
  <si>
    <t>京房权证市朝其字第2460078号</t>
    <phoneticPr fontId="134" type="noConversion"/>
  </si>
  <si>
    <t>朝阳区慧忠路5号B1505.B1506.B1507</t>
    <phoneticPr fontId="134" type="noConversion"/>
  </si>
  <si>
    <t>B1505</t>
    <phoneticPr fontId="134" type="noConversion"/>
  </si>
  <si>
    <r>
      <t>B</t>
    </r>
    <r>
      <rPr>
        <sz val="11"/>
        <color theme="1"/>
        <rFont val="宋体"/>
        <family val="3"/>
        <charset val="134"/>
        <scheme val="minor"/>
      </rPr>
      <t>1506</t>
    </r>
    <phoneticPr fontId="134" type="noConversion"/>
  </si>
  <si>
    <t>B1507</t>
    <phoneticPr fontId="134" type="noConversion"/>
  </si>
  <si>
    <t>北京市</t>
  </si>
  <si>
    <t>企业</t>
  </si>
  <si>
    <t>吴薇</t>
  </si>
  <si>
    <t>郑燚</t>
  </si>
  <si>
    <t>共计</t>
    <phoneticPr fontId="134" type="noConversion"/>
  </si>
  <si>
    <t>是</t>
  </si>
  <si>
    <t>地上</t>
  </si>
  <si>
    <t>现房</t>
  </si>
  <si>
    <t>办公项目</t>
  </si>
  <si>
    <t>否</t>
  </si>
  <si>
    <r>
      <rPr>
        <sz val="10"/>
        <color theme="9" tint="-0.249977111117893"/>
        <rFont val="宋体"/>
        <family val="3"/>
        <charset val="134"/>
      </rPr>
      <t>朝阳区慧忠路</t>
    </r>
    <r>
      <rPr>
        <sz val="10"/>
        <color theme="9" tint="-0.249977111117893"/>
        <rFont val="Arial"/>
        <family val="2"/>
      </rPr>
      <t>5</t>
    </r>
    <r>
      <rPr>
        <sz val="10"/>
        <color theme="9" tint="-0.249977111117893"/>
        <rFont val="宋体"/>
        <family val="3"/>
        <charset val="134"/>
      </rPr>
      <t>号</t>
    </r>
    <r>
      <rPr>
        <sz val="10"/>
        <color theme="9" tint="-0.249977111117893"/>
        <rFont val="Arial"/>
        <family val="2"/>
      </rPr>
      <t>B1501.B1502.B1503.B1505.B1506.B1507</t>
    </r>
    <phoneticPr fontId="6" type="noConversion"/>
  </si>
  <si>
    <t>北京远望创业投资有限公司</t>
    <phoneticPr fontId="6" type="noConversion"/>
  </si>
  <si>
    <t>建成年代</t>
    <phoneticPr fontId="3" type="noConversion"/>
  </si>
  <si>
    <t>根据产权证</t>
    <phoneticPr fontId="3" type="noConversion"/>
  </si>
  <si>
    <t>根据不动产查询</t>
    <phoneticPr fontId="6" type="noConversion"/>
  </si>
  <si>
    <t>直线</t>
    <phoneticPr fontId="3" type="noConversion"/>
  </si>
  <si>
    <t>观察</t>
    <phoneticPr fontId="3" type="noConversion"/>
  </si>
  <si>
    <t>成新度</t>
  </si>
  <si>
    <t>综合</t>
    <phoneticPr fontId="3" type="noConversion"/>
  </si>
  <si>
    <t>亚运村街道</t>
    <phoneticPr fontId="3" type="noConversion"/>
  </si>
  <si>
    <t>收益法 (元)</t>
  </si>
  <si>
    <t>B1501</t>
  </si>
  <si>
    <t>押一</t>
  </si>
  <si>
    <t>钢混</t>
  </si>
  <si>
    <t>非生产用房</t>
  </si>
  <si>
    <t>商务金融用地</t>
  </si>
  <si>
    <t>土地面积</t>
    <phoneticPr fontId="134" type="noConversion"/>
  </si>
  <si>
    <t>容积率</t>
    <phoneticPr fontId="134" type="noConversion"/>
  </si>
  <si>
    <t>自定义容积率</t>
  </si>
  <si>
    <t>较好</t>
  </si>
  <si>
    <t>好</t>
  </si>
  <si>
    <t>未包含在土地购买价格中</t>
  </si>
  <si>
    <t>已包含在土地取得成本中</t>
  </si>
  <si>
    <t>案例1</t>
    <phoneticPr fontId="134" type="noConversion"/>
  </si>
  <si>
    <t>简装</t>
    <phoneticPr fontId="134" type="noConversion"/>
  </si>
  <si>
    <t>朝东</t>
    <phoneticPr fontId="134" type="noConversion"/>
  </si>
  <si>
    <t>朝向</t>
    <phoneticPr fontId="134" type="noConversion"/>
  </si>
  <si>
    <t>案例2</t>
    <phoneticPr fontId="134" type="noConversion"/>
  </si>
  <si>
    <t>高楼层</t>
    <phoneticPr fontId="3" type="noConversion"/>
  </si>
  <si>
    <t>中楼层</t>
    <phoneticPr fontId="3" type="noConversion"/>
  </si>
  <si>
    <t>低楼层</t>
    <phoneticPr fontId="3" type="noConversion"/>
  </si>
  <si>
    <t>挂牌价</t>
  </si>
  <si>
    <t>挂牌价</t>
    <phoneticPr fontId="31" type="noConversion"/>
  </si>
  <si>
    <t>写字楼</t>
  </si>
  <si>
    <t>写字楼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</si>
  <si>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</si>
  <si>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</si>
  <si>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</si>
  <si>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</si>
  <si>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</si>
  <si>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甲级</t>
  </si>
  <si>
    <t>甲级</t>
    <phoneticPr fontId="31" type="noConversion"/>
  </si>
  <si>
    <t>乙级</t>
    <phoneticPr fontId="31" type="noConversion"/>
  </si>
  <si>
    <t>丙级</t>
    <phoneticPr fontId="31" type="noConversion"/>
  </si>
  <si>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</si>
  <si>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</si>
  <si>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</si>
  <si>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</si>
  <si>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</si>
  <si>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</si>
  <si>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低楼层</t>
  </si>
  <si>
    <t>低楼层</t>
    <phoneticPr fontId="134" type="noConversion"/>
  </si>
  <si>
    <t>中楼层</t>
  </si>
  <si>
    <t>中楼层</t>
    <phoneticPr fontId="134" type="noConversion"/>
  </si>
  <si>
    <t>精装修</t>
    <phoneticPr fontId="134" type="noConversion"/>
  </si>
  <si>
    <t>单套模式</t>
  </si>
  <si>
    <t>售价</t>
  </si>
  <si>
    <t>正常</t>
  </si>
  <si>
    <t>办公</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</si>
  <si>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</si>
  <si>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</si>
  <si>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</si>
  <si>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</si>
  <si>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</si>
  <si>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</si>
  <si>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</si>
  <si>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</si>
  <si>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</si>
  <si>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</si>
  <si>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</si>
  <si>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楼面单价</t>
  </si>
  <si>
    <t>自定义</t>
  </si>
  <si>
    <t>比较法-办公</t>
  </si>
  <si>
    <t>普通装修</t>
  </si>
  <si>
    <t>简单装修</t>
  </si>
  <si>
    <t>精装修</t>
  </si>
  <si>
    <t>远大中心</t>
    <phoneticPr fontId="3" type="noConversion"/>
  </si>
  <si>
    <t>成本法 (元)</t>
  </si>
  <si>
    <t>装修状况</t>
    <phoneticPr fontId="3" type="noConversion"/>
  </si>
  <si>
    <t>情况4</t>
  </si>
  <si>
    <t>转让取得</t>
  </si>
  <si>
    <t>非个人房产</t>
  </si>
  <si>
    <t>B1501.1502.1503.1505.1506.1507</t>
    <phoneticPr fontId="134" type="noConversion"/>
  </si>
  <si>
    <t>拍卖价</t>
    <phoneticPr fontId="134" type="noConversion"/>
  </si>
  <si>
    <t>元</t>
    <phoneticPr fontId="134" type="noConversion"/>
  </si>
  <si>
    <t>原值拆分</t>
    <phoneticPr fontId="134" type="noConversion"/>
  </si>
  <si>
    <t>购房发票</t>
  </si>
  <si>
    <t>2016年5月1日前购买</t>
  </si>
  <si>
    <t>与级别开发程度不一致</t>
  </si>
  <si>
    <t>通路</t>
  </si>
  <si>
    <t>通电</t>
  </si>
  <si>
    <t>通讯</t>
  </si>
  <si>
    <t>通上水</t>
  </si>
  <si>
    <t>通下水</t>
  </si>
  <si>
    <t>平整</t>
  </si>
  <si>
    <t>五通</t>
  </si>
  <si>
    <r>
      <t>2007</t>
    </r>
    <r>
      <rPr>
        <sz val="11"/>
        <color theme="1"/>
        <rFont val="宋体"/>
        <family val="3"/>
        <charset val="134"/>
      </rPr>
      <t>年为拍卖成交证书日期</t>
    </r>
    <phoneticPr fontId="8" type="noConversion"/>
  </si>
  <si>
    <t>B1505</t>
  </si>
  <si>
    <t>B1505</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</si>
</sst>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14" fontId="53" fillId="0" borderId="13" xfId="0" applyNumberFormat="1" applyFont="1" applyBorder="1" applyAlignment="1" applyProtection="1">
      <alignment horizontal="left" vertical="center"/>
      <protection locked="0"/>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76" fillId="0" borderId="1" xfId="0"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13" fillId="6" borderId="13" xfId="0" applyFont="1" applyFill="1" applyBorder="1">
      <alignment vertical="center"/>
    </xf>
    <xf numFmtId="186" fontId="54" fillId="6" borderId="32" xfId="0" applyNumberFormat="1" applyFont="1" applyFill="1" applyBorder="1" applyAlignment="1">
      <alignment horizontal="left" vertical="center" wrapText="1"/>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39"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60960</xdr:rowOff>
    </xdr:from>
    <xdr:to>
      <xdr:col>16</xdr:col>
      <xdr:colOff>510925</xdr:colOff>
      <xdr:row>58</xdr:row>
      <xdr:rowOff>54377</xdr:rowOff>
    </xdr:to>
    <xdr:pic>
      <xdr:nvPicPr>
        <xdr:cNvPr id="2" name="图片 1">
          <a:extLst>
            <a:ext uri="{FF2B5EF4-FFF2-40B4-BE49-F238E27FC236}">
              <a16:creationId xmlns:a16="http://schemas.microsoft.com/office/drawing/2014/main" id="{3DACCEDD-DE51-6511-E9D1-DD66C760D6E1}"/>
            </a:ext>
          </a:extLst>
        </xdr:cNvPr>
        <xdr:cNvPicPr>
          <a:picLocks noChangeAspect="1"/>
        </xdr:cNvPicPr>
      </xdr:nvPicPr>
      <xdr:blipFill>
        <a:blip xmlns:r="http://schemas.openxmlformats.org/officeDocument/2006/relationships" r:embed="rId1"/>
        <a:stretch>
          <a:fillRect/>
        </a:stretch>
      </xdr:blipFill>
      <xdr:spPr>
        <a:xfrm>
          <a:off x="0" y="4084320"/>
          <a:ext cx="12161905" cy="6942857"/>
        </a:xfrm>
        <a:prstGeom prst="rect">
          <a:avLst/>
        </a:prstGeom>
      </xdr:spPr>
    </xdr:pic>
    <xdr:clientData/>
  </xdr:twoCellAnchor>
  <xdr:twoCellAnchor editAs="oneCell">
    <xdr:from>
      <xdr:col>12</xdr:col>
      <xdr:colOff>243840</xdr:colOff>
      <xdr:row>0</xdr:row>
      <xdr:rowOff>0</xdr:rowOff>
    </xdr:from>
    <xdr:to>
      <xdr:col>24</xdr:col>
      <xdr:colOff>520882</xdr:colOff>
      <xdr:row>17</xdr:row>
      <xdr:rowOff>5750</xdr:rowOff>
    </xdr:to>
    <xdr:pic>
      <xdr:nvPicPr>
        <xdr:cNvPr id="3" name="图片 2">
          <a:extLst>
            <a:ext uri="{FF2B5EF4-FFF2-40B4-BE49-F238E27FC236}">
              <a16:creationId xmlns:a16="http://schemas.microsoft.com/office/drawing/2014/main" id="{3E1BFD70-47CF-8704-462A-13A74E91AD06}"/>
            </a:ext>
          </a:extLst>
        </xdr:cNvPr>
        <xdr:cNvPicPr>
          <a:picLocks noChangeAspect="1"/>
        </xdr:cNvPicPr>
      </xdr:nvPicPr>
      <xdr:blipFill>
        <a:blip xmlns:r="http://schemas.openxmlformats.org/officeDocument/2006/relationships" r:embed="rId2"/>
        <a:stretch>
          <a:fillRect/>
        </a:stretch>
      </xdr:blipFill>
      <xdr:spPr>
        <a:xfrm>
          <a:off x="9456420" y="0"/>
          <a:ext cx="7592242" cy="3480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15</xdr:col>
      <xdr:colOff>438094</xdr:colOff>
      <xdr:row>24</xdr:row>
      <xdr:rowOff>27695</xdr:rowOff>
    </xdr:to>
    <xdr:pic>
      <xdr:nvPicPr>
        <xdr:cNvPr id="2" name="图片 1">
          <a:extLst>
            <a:ext uri="{FF2B5EF4-FFF2-40B4-BE49-F238E27FC236}">
              <a16:creationId xmlns:a16="http://schemas.microsoft.com/office/drawing/2014/main" id="{AC7C1494-0C3F-4641-369A-AEE55CA2CB88}"/>
            </a:ext>
          </a:extLst>
        </xdr:cNvPr>
        <xdr:cNvPicPr>
          <a:picLocks noChangeAspect="1"/>
        </xdr:cNvPicPr>
      </xdr:nvPicPr>
      <xdr:blipFill>
        <a:blip xmlns:r="http://schemas.openxmlformats.org/officeDocument/2006/relationships" r:embed="rId1"/>
        <a:stretch>
          <a:fillRect/>
        </a:stretch>
      </xdr:blipFill>
      <xdr:spPr>
        <a:xfrm>
          <a:off x="0" y="7620"/>
          <a:ext cx="9582094" cy="4409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163202</xdr:colOff>
      <xdr:row>32</xdr:row>
      <xdr:rowOff>115304</xdr:rowOff>
    </xdr:to>
    <xdr:pic>
      <xdr:nvPicPr>
        <xdr:cNvPr id="2" name="图片 1">
          <a:extLst>
            <a:ext uri="{FF2B5EF4-FFF2-40B4-BE49-F238E27FC236}">
              <a16:creationId xmlns:a16="http://schemas.microsoft.com/office/drawing/2014/main" id="{9322A709-0ED7-940D-81F2-1EAA9F2DCD55}"/>
            </a:ext>
          </a:extLst>
        </xdr:cNvPr>
        <xdr:cNvPicPr>
          <a:picLocks noChangeAspect="1"/>
        </xdr:cNvPicPr>
      </xdr:nvPicPr>
      <xdr:blipFill>
        <a:blip xmlns:r="http://schemas.openxmlformats.org/officeDocument/2006/relationships" r:embed="rId1"/>
        <a:stretch>
          <a:fillRect/>
        </a:stretch>
      </xdr:blipFill>
      <xdr:spPr>
        <a:xfrm>
          <a:off x="0" y="0"/>
          <a:ext cx="8088002" cy="5967464"/>
        </a:xfrm>
        <a:prstGeom prst="rect">
          <a:avLst/>
        </a:prstGeom>
      </xdr:spPr>
    </xdr:pic>
    <xdr:clientData/>
  </xdr:twoCellAnchor>
  <xdr:twoCellAnchor editAs="oneCell">
    <xdr:from>
      <xdr:col>0</xdr:col>
      <xdr:colOff>91441</xdr:colOff>
      <xdr:row>68</xdr:row>
      <xdr:rowOff>0</xdr:rowOff>
    </xdr:from>
    <xdr:to>
      <xdr:col>13</xdr:col>
      <xdr:colOff>369129</xdr:colOff>
      <xdr:row>102</xdr:row>
      <xdr:rowOff>160938</xdr:rowOff>
    </xdr:to>
    <xdr:pic>
      <xdr:nvPicPr>
        <xdr:cNvPr id="6" name="图片 5">
          <a:extLst>
            <a:ext uri="{FF2B5EF4-FFF2-40B4-BE49-F238E27FC236}">
              <a16:creationId xmlns:a16="http://schemas.microsoft.com/office/drawing/2014/main" id="{FFC0AFC3-F2D1-528F-88D1-FAB7E2EA5027}"/>
            </a:ext>
          </a:extLst>
        </xdr:cNvPr>
        <xdr:cNvPicPr>
          <a:picLocks noChangeAspect="1"/>
        </xdr:cNvPicPr>
      </xdr:nvPicPr>
      <xdr:blipFill>
        <a:blip xmlns:r="http://schemas.openxmlformats.org/officeDocument/2006/relationships" r:embed="rId2"/>
        <a:stretch>
          <a:fillRect/>
        </a:stretch>
      </xdr:blipFill>
      <xdr:spPr>
        <a:xfrm>
          <a:off x="91441" y="12435840"/>
          <a:ext cx="8202488" cy="6378858"/>
        </a:xfrm>
        <a:prstGeom prst="rect">
          <a:avLst/>
        </a:prstGeom>
      </xdr:spPr>
    </xdr:pic>
    <xdr:clientData/>
  </xdr:twoCellAnchor>
  <xdr:twoCellAnchor editAs="oneCell">
    <xdr:from>
      <xdr:col>0</xdr:col>
      <xdr:colOff>0</xdr:colOff>
      <xdr:row>32</xdr:row>
      <xdr:rowOff>66928</xdr:rowOff>
    </xdr:from>
    <xdr:to>
      <xdr:col>13</xdr:col>
      <xdr:colOff>307719</xdr:colOff>
      <xdr:row>61</xdr:row>
      <xdr:rowOff>14345</xdr:rowOff>
    </xdr:to>
    <xdr:pic>
      <xdr:nvPicPr>
        <xdr:cNvPr id="3" name="图片 2">
          <a:extLst>
            <a:ext uri="{FF2B5EF4-FFF2-40B4-BE49-F238E27FC236}">
              <a16:creationId xmlns:a16="http://schemas.microsoft.com/office/drawing/2014/main" id="{F19FD6EE-4FE6-7928-D7AE-6D9D99E989E6}"/>
            </a:ext>
          </a:extLst>
        </xdr:cNvPr>
        <xdr:cNvPicPr>
          <a:picLocks noChangeAspect="1"/>
        </xdr:cNvPicPr>
      </xdr:nvPicPr>
      <xdr:blipFill>
        <a:blip xmlns:r="http://schemas.openxmlformats.org/officeDocument/2006/relationships" r:embed="rId3"/>
        <a:stretch>
          <a:fillRect/>
        </a:stretch>
      </xdr:blipFill>
      <xdr:spPr>
        <a:xfrm>
          <a:off x="0" y="5919088"/>
          <a:ext cx="8232519" cy="5250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437257</xdr:colOff>
      <xdr:row>43</xdr:row>
      <xdr:rowOff>155208</xdr:rowOff>
    </xdr:to>
    <xdr:pic>
      <xdr:nvPicPr>
        <xdr:cNvPr id="2" name="图片 1">
          <a:extLst>
            <a:ext uri="{FF2B5EF4-FFF2-40B4-BE49-F238E27FC236}">
              <a16:creationId xmlns:a16="http://schemas.microsoft.com/office/drawing/2014/main" id="{C8C5CEF4-0C44-6334-7455-3835B09C8507}"/>
            </a:ext>
          </a:extLst>
        </xdr:cNvPr>
        <xdr:cNvPicPr>
          <a:picLocks noChangeAspect="1"/>
        </xdr:cNvPicPr>
      </xdr:nvPicPr>
      <xdr:blipFill>
        <a:blip xmlns:r="http://schemas.openxmlformats.org/officeDocument/2006/relationships" r:embed="rId1"/>
        <a:stretch>
          <a:fillRect/>
        </a:stretch>
      </xdr:blipFill>
      <xdr:spPr>
        <a:xfrm>
          <a:off x="0" y="0"/>
          <a:ext cx="7142857" cy="8019048"/>
        </a:xfrm>
        <a:prstGeom prst="rect">
          <a:avLst/>
        </a:prstGeom>
      </xdr:spPr>
    </xdr:pic>
    <xdr:clientData/>
  </xdr:twoCellAnchor>
  <xdr:twoCellAnchor editAs="oneCell">
    <xdr:from>
      <xdr:col>12</xdr:col>
      <xdr:colOff>137160</xdr:colOff>
      <xdr:row>2</xdr:row>
      <xdr:rowOff>121920</xdr:rowOff>
    </xdr:from>
    <xdr:to>
      <xdr:col>23</xdr:col>
      <xdr:colOff>50608</xdr:colOff>
      <xdr:row>25</xdr:row>
      <xdr:rowOff>1394</xdr:rowOff>
    </xdr:to>
    <xdr:pic>
      <xdr:nvPicPr>
        <xdr:cNvPr id="3" name="图片 2">
          <a:extLst>
            <a:ext uri="{FF2B5EF4-FFF2-40B4-BE49-F238E27FC236}">
              <a16:creationId xmlns:a16="http://schemas.microsoft.com/office/drawing/2014/main" id="{E01A2C44-DF7D-E8B8-18EC-CD89ED0A9BF5}"/>
            </a:ext>
          </a:extLst>
        </xdr:cNvPr>
        <xdr:cNvPicPr>
          <a:picLocks noChangeAspect="1"/>
        </xdr:cNvPicPr>
      </xdr:nvPicPr>
      <xdr:blipFill>
        <a:blip xmlns:r="http://schemas.openxmlformats.org/officeDocument/2006/relationships" r:embed="rId2"/>
        <a:stretch>
          <a:fillRect/>
        </a:stretch>
      </xdr:blipFill>
      <xdr:spPr>
        <a:xfrm>
          <a:off x="7452360" y="487680"/>
          <a:ext cx="6619048" cy="4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北京市朝阳区慧忠路5号B1501.B1502.B1503.B1505.B1506.B1507房地产抵押价值预评估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受贵公司委托，我公司对北京市朝阳区慧忠路5号B1501.B1502.B1503.B1505.B1506.B1507房地产抵押价值进行了预评估。</v>
      </c>
    </row>
    <row r="7" spans="1:2">
      <c r="A7" s="1119" t="s">
        <v>566</v>
      </c>
      <c r="B7" s="1120" t="str">
        <f>'预评函-1'!A7</f>
        <v>估价对象为北京市朝阳区慧忠路5号B1501.B1502.B1503.B1505.B1506.B1507房地产，为北京远望创业投资有限公司所有。根据《国有土地使用证》[]，估价对象（分摊）出让国有建设用地使用权面积为0平方米，建筑面积为170.67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慧忠路5号B1501.B1502.B1503.B1505.B1506.B1507房地产,属北京远望创业投资有限公司开发建设的办公项目，该项目尚在开发建设中。根据《国有土地使用证》[]，估价对象（分摊）出让国有建设用地使用权面积为0平方米，规划建筑面积为170.67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2025年4月28日（评估专业人员实地查勘之日）</v>
      </c>
    </row>
    <row r="13" spans="1:2">
      <c r="A13" s="1119" t="s">
        <v>529</v>
      </c>
      <c r="B13" s="1120"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24020</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24020</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1246.5889</v>
      </c>
    </row>
    <row r="39" spans="1:2">
      <c r="A39" s="1119" t="s">
        <v>545</v>
      </c>
      <c r="B39" s="1120">
        <f ca="1">'预评函-2'!D21</f>
        <v>23666</v>
      </c>
    </row>
    <row r="40" spans="1:2">
      <c r="A40" s="1119" t="s">
        <v>546</v>
      </c>
      <c r="B40" s="1120" t="str">
        <f ca="1">'预评函-2'!D20</f>
        <v>壹仟贰佰肆拾陆万伍仟捌佰捌拾玖元整</v>
      </c>
    </row>
    <row r="41" spans="1:2">
      <c r="A41" s="1119" t="s">
        <v>592</v>
      </c>
      <c r="B41" s="1120" t="str">
        <f>'预评函-3'!A4</f>
        <v>北京市朝阳区慧忠路5号B1501.B1502.B1503.B1505.B1506.B1507房地产</v>
      </c>
    </row>
    <row r="42" spans="1:2" ht="31.2">
      <c r="A42" s="1119" t="s">
        <v>590</v>
      </c>
      <c r="B42" s="1120" t="str">
        <f>'预评函-3'!B2</f>
        <v>建筑面积</v>
      </c>
    </row>
    <row r="43" spans="1:2">
      <c r="A43" s="1119" t="s">
        <v>591</v>
      </c>
      <c r="B43" s="1120">
        <f>'预评函-3'!B4</f>
        <v>170.67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2495</v>
      </c>
      <c r="B1" s="2753"/>
      <c r="C1" s="2753"/>
      <c r="D1" s="2753"/>
      <c r="E1" s="2753"/>
      <c r="F1" s="2754"/>
      <c r="I1" s="3131" t="s">
        <v>2588</v>
      </c>
      <c r="J1" s="2779"/>
      <c r="K1" s="2779"/>
      <c r="L1" s="2779"/>
      <c r="M1" s="2779"/>
      <c r="N1" s="2964"/>
      <c r="O1" s="2964"/>
      <c r="P1" s="2964"/>
      <c r="Q1" s="2964"/>
      <c r="R1" s="2964"/>
    </row>
    <row r="2" spans="1:18">
      <c r="A2" s="2756"/>
      <c r="B2" s="2757"/>
      <c r="C2" s="2757"/>
      <c r="D2" s="2757"/>
      <c r="E2" s="2757"/>
      <c r="F2" s="2758"/>
      <c r="I2" s="3218" t="s">
        <v>2575</v>
      </c>
      <c r="J2" s="3218"/>
      <c r="K2" s="3218"/>
      <c r="L2" s="3218"/>
      <c r="M2" s="3218"/>
      <c r="N2" s="3218"/>
      <c r="O2" s="3218"/>
      <c r="P2" s="3218"/>
      <c r="Q2" s="3218"/>
      <c r="R2" s="3218"/>
    </row>
    <row r="3" spans="1:18">
      <c r="A3" s="2759" t="s">
        <v>2496</v>
      </c>
      <c r="B3" s="2760">
        <f>项目基本情况!D3</f>
        <v>45775</v>
      </c>
      <c r="C3" s="2762"/>
      <c r="D3" s="2762"/>
      <c r="E3" s="2762"/>
      <c r="F3" s="2758"/>
      <c r="I3" s="2774"/>
      <c r="J3" s="2774" t="s">
        <v>2579</v>
      </c>
      <c r="K3" s="2774" t="s">
        <v>2580</v>
      </c>
      <c r="L3" s="2774" t="s">
        <v>2581</v>
      </c>
      <c r="M3" s="2774" t="s">
        <v>2582</v>
      </c>
      <c r="N3" s="3132" t="s">
        <v>2583</v>
      </c>
      <c r="O3" s="3132" t="s">
        <v>2584</v>
      </c>
      <c r="P3" s="3132" t="s">
        <v>2585</v>
      </c>
      <c r="Q3" s="3132" t="s">
        <v>2586</v>
      </c>
      <c r="R3" s="3132" t="s">
        <v>2587</v>
      </c>
    </row>
    <row r="4" spans="1:18">
      <c r="A4" s="2759" t="s">
        <v>2497</v>
      </c>
      <c r="B4" s="2762" t="s">
        <v>2498</v>
      </c>
      <c r="C4" s="2762" t="s">
        <v>2499</v>
      </c>
      <c r="D4" s="2762" t="s">
        <v>2500</v>
      </c>
      <c r="E4" s="2762" t="s">
        <v>2501</v>
      </c>
      <c r="F4" s="2758"/>
      <c r="I4" s="2774" t="s">
        <v>2576</v>
      </c>
      <c r="J4" s="2774">
        <v>80</v>
      </c>
      <c r="K4" s="2774">
        <v>70</v>
      </c>
      <c r="L4" s="2774">
        <v>20</v>
      </c>
      <c r="M4" s="2774">
        <v>30</v>
      </c>
      <c r="N4" s="2762">
        <v>45</v>
      </c>
      <c r="O4" s="2762">
        <v>60</v>
      </c>
      <c r="P4" s="2762">
        <v>50</v>
      </c>
      <c r="Q4" s="2762">
        <v>20</v>
      </c>
      <c r="R4" s="2762">
        <v>375</v>
      </c>
    </row>
    <row r="5" spans="1:18">
      <c r="A5" s="2763">
        <v>40</v>
      </c>
      <c r="B5" s="2760">
        <v>46375</v>
      </c>
      <c r="C5" s="2762">
        <f>ROUNDDOWN(MIN((B5-B3)/365,A5),2)</f>
        <v>1.64</v>
      </c>
      <c r="D5" s="2764">
        <f>IF(ISERROR(ROUND(POWER(1+E5,A5-C5)*(POWER(1+E5,C5)-1)/(POWER(1+E5,A5)-1),3)),0,ROUND(POWER(1+E5,A5-C5)*(POWER(1+E5,C5)-1)/(POWER(1+E5,A5)-1),4))</f>
        <v>7.8700000000000006E-2</v>
      </c>
      <c r="E5" s="2765">
        <v>0.04</v>
      </c>
      <c r="F5" s="2758"/>
      <c r="I5" s="2774" t="s">
        <v>2577</v>
      </c>
      <c r="J5" s="2774">
        <v>70</v>
      </c>
      <c r="K5" s="2774">
        <v>60</v>
      </c>
      <c r="L5" s="2774">
        <v>15</v>
      </c>
      <c r="M5" s="2774">
        <v>25</v>
      </c>
      <c r="N5" s="2762">
        <v>40</v>
      </c>
      <c r="O5" s="2762">
        <v>50</v>
      </c>
      <c r="P5" s="2762">
        <v>40</v>
      </c>
      <c r="Q5" s="2762">
        <v>15</v>
      </c>
      <c r="R5" s="2762">
        <v>315</v>
      </c>
    </row>
    <row r="6" spans="1:18">
      <c r="A6" s="2763">
        <v>50</v>
      </c>
      <c r="B6" s="2760">
        <v>50028</v>
      </c>
      <c r="C6" s="2762">
        <f>ROUNDDOWN(MIN((B6-B3)/365,A6),2)</f>
        <v>11.65</v>
      </c>
      <c r="D6" s="2764">
        <f>IF(ISERROR(ROUND(POWER(1+E6,A6-C6)*(POWER(1+E6,C6)-1)/(POWER(1+E6,A6)-1),3)),0,ROUND(POWER(1+E6,A6-C6)*(POWER(1+E6,C6)-1)/(POWER(1+E6,A6)-1),4))</f>
        <v>0.42680000000000001</v>
      </c>
      <c r="E6" s="2765">
        <v>0.04</v>
      </c>
      <c r="F6" s="2758"/>
      <c r="I6" s="2774" t="s">
        <v>2578</v>
      </c>
      <c r="J6" s="2774">
        <v>60</v>
      </c>
      <c r="K6" s="2774">
        <v>50</v>
      </c>
      <c r="L6" s="2774">
        <v>10</v>
      </c>
      <c r="M6" s="2774">
        <v>20</v>
      </c>
      <c r="N6" s="2762">
        <v>35</v>
      </c>
      <c r="O6" s="2762">
        <v>40</v>
      </c>
      <c r="P6" s="2762">
        <v>30</v>
      </c>
      <c r="Q6" s="2762">
        <v>10</v>
      </c>
      <c r="R6" s="2762">
        <v>255</v>
      </c>
    </row>
    <row r="7" spans="1:18">
      <c r="A7" s="2763">
        <v>70</v>
      </c>
      <c r="B7" s="2760">
        <v>57333</v>
      </c>
      <c r="C7" s="2762">
        <f>ROUNDDOWN(MIN((B7-B3)/365,A7),2)</f>
        <v>31.66</v>
      </c>
      <c r="D7" s="2764">
        <f>IF(ISERROR(ROUND(POWER(1+E7,A7-C7)*(POWER(1+E7,C7)-1)/(POWER(1+E7,A7)-1),3)),0,ROUND(POWER(1+E7,A7-C7)*(POWER(1+E7,C7)-1)/(POWER(1+E7,A7)-1),4))</f>
        <v>0.75990000000000002</v>
      </c>
      <c r="E7" s="2765">
        <v>0.04</v>
      </c>
      <c r="F7" s="2758"/>
    </row>
    <row r="8" spans="1:18">
      <c r="A8" s="2756"/>
      <c r="B8" s="2757"/>
      <c r="C8" s="2757"/>
      <c r="D8" s="2757"/>
      <c r="E8" s="2757"/>
      <c r="F8" s="2758"/>
    </row>
    <row r="9" spans="1:18">
      <c r="A9" s="2759" t="s">
        <v>2502</v>
      </c>
      <c r="B9" s="2762"/>
      <c r="C9" s="2762"/>
      <c r="D9" s="2762"/>
      <c r="E9" s="2762"/>
      <c r="F9" s="2766"/>
    </row>
    <row r="10" spans="1:18">
      <c r="A10" s="2759" t="s">
        <v>2503</v>
      </c>
      <c r="B10" s="2762"/>
      <c r="C10" s="2762"/>
      <c r="D10" s="2762" t="s">
        <v>2501</v>
      </c>
      <c r="E10" s="2762"/>
      <c r="F10" s="2766" t="s">
        <v>2500</v>
      </c>
    </row>
    <row r="11" spans="1:18">
      <c r="A11" s="2759" t="s">
        <v>2504</v>
      </c>
      <c r="B11" s="2767">
        <v>70</v>
      </c>
      <c r="C11" s="2762" t="s">
        <v>2505</v>
      </c>
      <c r="D11" s="2767">
        <v>4.4999999999999998E-2</v>
      </c>
      <c r="E11" s="2762" t="s">
        <v>2506</v>
      </c>
      <c r="F11" s="2768">
        <f>ROUND(1-(1/(POWER(1+D11,B11))),4)</f>
        <v>0.95409999999999995</v>
      </c>
    </row>
    <row r="12" spans="1:18">
      <c r="A12" s="2759" t="s">
        <v>2507</v>
      </c>
      <c r="B12" s="2767">
        <v>40</v>
      </c>
      <c r="C12" s="2762" t="s">
        <v>2508</v>
      </c>
      <c r="D12" s="2767">
        <v>4.4999999999999998E-2</v>
      </c>
      <c r="E12" s="2762" t="s">
        <v>2509</v>
      </c>
      <c r="F12" s="2768">
        <f>ROUND(1-(1/(POWER(1+D12,B12))),4)</f>
        <v>0.82809999999999995</v>
      </c>
    </row>
    <row r="13" spans="1:18">
      <c r="A13" s="2759" t="s">
        <v>2510</v>
      </c>
      <c r="B13" s="2762"/>
      <c r="C13" s="2762"/>
      <c r="D13" s="2757"/>
      <c r="E13" s="2757"/>
      <c r="F13" s="2758"/>
    </row>
    <row r="14" spans="1:18">
      <c r="A14" s="2759" t="s">
        <v>2511</v>
      </c>
      <c r="B14" s="2767">
        <v>5000</v>
      </c>
      <c r="C14" s="2761"/>
      <c r="D14" s="2757"/>
      <c r="E14" s="2757"/>
      <c r="F14" s="2758"/>
    </row>
    <row r="15" spans="1:18">
      <c r="A15" s="2759" t="s">
        <v>2512</v>
      </c>
      <c r="B15" s="2762">
        <f>ROUND(B14*F12/F11,2)</f>
        <v>4339.6899999999996</v>
      </c>
      <c r="C15" s="2762">
        <f>ROUND(F12/F11,4)</f>
        <v>0.8679</v>
      </c>
      <c r="D15" s="2757"/>
      <c r="E15" s="2757"/>
      <c r="F15" s="2758"/>
    </row>
    <row r="16" spans="1:18">
      <c r="A16" s="2759" t="s">
        <v>2513</v>
      </c>
      <c r="B16" s="2762"/>
      <c r="C16" s="2762"/>
      <c r="D16" s="2757"/>
      <c r="E16" s="2757"/>
      <c r="F16" s="2758"/>
    </row>
    <row r="17" spans="1:14">
      <c r="A17" s="2759" t="s">
        <v>2512</v>
      </c>
      <c r="B17" s="2767">
        <v>4810</v>
      </c>
      <c r="C17" s="2761"/>
      <c r="D17" s="2757"/>
      <c r="E17" s="2757"/>
      <c r="F17" s="2758"/>
    </row>
    <row r="18" spans="1:14" ht="15" thickBot="1">
      <c r="A18" s="2769" t="s">
        <v>2511</v>
      </c>
      <c r="B18" s="2770">
        <f>ROUND(B17*F11/F12,2)</f>
        <v>5541.87</v>
      </c>
      <c r="C18" s="2770">
        <f>ROUND(F11/F12,4)</f>
        <v>1.1521999999999999</v>
      </c>
      <c r="D18" s="2771"/>
      <c r="E18" s="2771"/>
      <c r="F18" s="2772"/>
    </row>
    <row r="19" spans="1:14" ht="15" thickBot="1"/>
    <row r="20" spans="1:14" s="2805" customFormat="1" ht="15" thickTop="1">
      <c r="A20" s="2802" t="s">
        <v>2514</v>
      </c>
      <c r="B20" s="2803"/>
      <c r="C20" s="2803"/>
      <c r="D20" s="2803"/>
      <c r="E20" s="2803"/>
      <c r="F20" s="2803"/>
      <c r="G20" s="2804"/>
      <c r="I20" s="2806" t="s">
        <v>2559</v>
      </c>
      <c r="J20" s="2806" t="s">
        <v>2564</v>
      </c>
      <c r="K20" s="2806"/>
      <c r="L20" s="2806"/>
      <c r="M20" s="2806"/>
    </row>
    <row r="21" spans="1:14">
      <c r="A21" s="2773"/>
      <c r="B21" s="2774" t="s">
        <v>2515</v>
      </c>
      <c r="C21" s="2774" t="s">
        <v>2516</v>
      </c>
      <c r="D21" s="2774" t="s">
        <v>2517</v>
      </c>
      <c r="E21" s="2774" t="s">
        <v>2518</v>
      </c>
      <c r="F21" s="2774" t="s">
        <v>2519</v>
      </c>
      <c r="G21" s="2775" t="s">
        <v>2520</v>
      </c>
      <c r="I21" s="2796">
        <v>5</v>
      </c>
      <c r="J21" s="2796">
        <v>54.2</v>
      </c>
    </row>
    <row r="22" spans="1:14">
      <c r="A22" s="2773" t="s">
        <v>2521</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2522</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2562</v>
      </c>
      <c r="N23" s="3149" t="s">
        <v>2563</v>
      </c>
    </row>
    <row r="24" spans="1:14">
      <c r="A24" s="2773" t="s">
        <v>2523</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2561</v>
      </c>
      <c r="N24" s="3149">
        <v>10</v>
      </c>
    </row>
    <row r="25" spans="1:14">
      <c r="A25" s="2773" t="s">
        <v>2524</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2565</v>
      </c>
      <c r="N25" s="3149">
        <v>8</v>
      </c>
    </row>
    <row r="26" spans="1:14">
      <c r="A26" s="2778"/>
      <c r="B26" s="2779"/>
      <c r="C26" s="2779"/>
      <c r="D26" s="2779"/>
      <c r="E26" s="2779"/>
      <c r="F26" s="2779"/>
      <c r="G26" s="2780"/>
      <c r="I26" s="2796">
        <v>30</v>
      </c>
      <c r="J26" s="2796">
        <v>90.5</v>
      </c>
      <c r="K26" s="2796">
        <f t="shared" si="2"/>
        <v>4.2000000000000028</v>
      </c>
      <c r="L26" s="2796" t="s">
        <v>2566</v>
      </c>
      <c r="N26" s="3149">
        <v>5</v>
      </c>
    </row>
    <row r="27" spans="1:14">
      <c r="A27" s="2778" t="s">
        <v>2525</v>
      </c>
      <c r="B27" s="2779"/>
      <c r="C27" s="2779"/>
      <c r="D27" s="2779"/>
      <c r="E27" s="2779"/>
      <c r="F27" s="2779"/>
      <c r="G27" s="2780"/>
      <c r="I27" s="2796">
        <v>35</v>
      </c>
      <c r="J27" s="2796">
        <v>93.8</v>
      </c>
      <c r="K27" s="2796">
        <f t="shared" si="2"/>
        <v>3.2999999999999972</v>
      </c>
      <c r="L27" s="2796" t="s">
        <v>2567</v>
      </c>
      <c r="N27" s="3149">
        <v>3</v>
      </c>
    </row>
    <row r="28" spans="1:14">
      <c r="A28" s="2778" t="s">
        <v>2526</v>
      </c>
      <c r="B28" s="2779"/>
      <c r="C28" s="2779"/>
      <c r="D28" s="2779"/>
      <c r="E28" s="2779"/>
      <c r="F28" s="2779"/>
      <c r="G28" s="2780"/>
      <c r="I28" s="2796">
        <v>40</v>
      </c>
      <c r="J28" s="2796">
        <v>96.4</v>
      </c>
      <c r="K28" s="2796">
        <f t="shared" si="2"/>
        <v>2.6000000000000085</v>
      </c>
      <c r="L28" s="2796" t="s">
        <v>2568</v>
      </c>
      <c r="N28" s="3149">
        <v>2</v>
      </c>
    </row>
    <row r="29" spans="1:14">
      <c r="A29" s="2778" t="s">
        <v>2527</v>
      </c>
      <c r="B29" s="2779"/>
      <c r="C29" s="2779"/>
      <c r="D29" s="2779"/>
      <c r="E29" s="2779"/>
      <c r="F29" s="2779"/>
      <c r="G29" s="2780"/>
      <c r="I29" s="2796">
        <v>45</v>
      </c>
      <c r="J29" s="2796">
        <v>98.4</v>
      </c>
      <c r="K29" s="2796">
        <f t="shared" si="2"/>
        <v>2</v>
      </c>
    </row>
    <row r="30" spans="1:14">
      <c r="A30" s="2778" t="s">
        <v>2528</v>
      </c>
      <c r="B30" s="2779"/>
      <c r="C30" s="2779"/>
      <c r="D30" s="2779"/>
      <c r="E30" s="2779"/>
      <c r="F30" s="2779"/>
      <c r="G30" s="2780"/>
      <c r="I30" s="2796">
        <v>50</v>
      </c>
      <c r="J30" s="2796">
        <v>100</v>
      </c>
      <c r="K30" s="2796">
        <f t="shared" si="2"/>
        <v>1.5999999999999943</v>
      </c>
    </row>
    <row r="31" spans="1:14">
      <c r="A31" s="2778" t="s">
        <v>2529</v>
      </c>
      <c r="B31" s="2779"/>
      <c r="C31" s="2779"/>
      <c r="D31" s="2779"/>
      <c r="E31" s="2779"/>
      <c r="F31" s="2779"/>
      <c r="G31" s="2780"/>
      <c r="I31" s="2796" t="s">
        <v>2560</v>
      </c>
    </row>
    <row r="32" spans="1:14">
      <c r="A32" s="2778" t="s">
        <v>2530</v>
      </c>
      <c r="B32" s="2779"/>
      <c r="C32" s="2779"/>
      <c r="D32" s="2779"/>
      <c r="E32" s="2779"/>
      <c r="F32" s="2779"/>
      <c r="G32" s="2780"/>
    </row>
    <row r="33" spans="1:14">
      <c r="A33" s="2778" t="s">
        <v>2531</v>
      </c>
      <c r="B33" s="2779"/>
      <c r="C33" s="2779"/>
      <c r="D33" s="2779"/>
      <c r="E33" s="2779"/>
      <c r="F33" s="2779"/>
      <c r="G33" s="2780"/>
      <c r="I33" s="2796" t="s">
        <v>2559</v>
      </c>
      <c r="J33" s="2796" t="s">
        <v>2569</v>
      </c>
    </row>
    <row r="34" spans="1:14">
      <c r="A34" s="2778" t="s">
        <v>2532</v>
      </c>
      <c r="B34" s="2779"/>
      <c r="C34" s="2779"/>
      <c r="D34" s="2779"/>
      <c r="E34" s="2779"/>
      <c r="F34" s="2779"/>
      <c r="G34" s="2780"/>
      <c r="I34" s="2796">
        <v>5</v>
      </c>
      <c r="J34" s="2796">
        <v>55.1</v>
      </c>
    </row>
    <row r="35" spans="1:14">
      <c r="A35" s="2778" t="s">
        <v>2533</v>
      </c>
      <c r="B35" s="2779"/>
      <c r="C35" s="2779"/>
      <c r="D35" s="2779"/>
      <c r="E35" s="2779"/>
      <c r="F35" s="2779"/>
      <c r="G35" s="2780"/>
      <c r="I35" s="2796">
        <v>10</v>
      </c>
      <c r="J35" s="2796">
        <v>67</v>
      </c>
      <c r="K35" s="2796">
        <f>J35-J34</f>
        <v>11.899999999999999</v>
      </c>
    </row>
    <row r="36" spans="1:14">
      <c r="A36" s="2778" t="s">
        <v>2534</v>
      </c>
      <c r="B36" s="2779"/>
      <c r="C36" s="2779"/>
      <c r="D36" s="2779"/>
      <c r="E36" s="2779"/>
      <c r="F36" s="2779"/>
      <c r="G36" s="2780"/>
      <c r="I36" s="2796">
        <v>15</v>
      </c>
      <c r="J36" s="2796">
        <v>76.3</v>
      </c>
      <c r="K36" s="2796">
        <f t="shared" ref="K36:K41" si="3">J36-J35</f>
        <v>9.2999999999999972</v>
      </c>
      <c r="L36" s="2796" t="s">
        <v>2562</v>
      </c>
      <c r="N36" s="3149" t="s">
        <v>2563</v>
      </c>
    </row>
    <row r="37" spans="1:14">
      <c r="A37" s="2778" t="s">
        <v>2535</v>
      </c>
      <c r="B37" s="2779"/>
      <c r="C37" s="2779"/>
      <c r="D37" s="2779"/>
      <c r="E37" s="2779"/>
      <c r="F37" s="2779"/>
      <c r="G37" s="2780"/>
      <c r="I37" s="2796">
        <v>20</v>
      </c>
      <c r="J37" s="2796">
        <v>83.6</v>
      </c>
      <c r="K37" s="2796">
        <f t="shared" si="3"/>
        <v>7.2999999999999972</v>
      </c>
      <c r="L37" s="2796" t="s">
        <v>2561</v>
      </c>
      <c r="N37" s="3149">
        <v>10</v>
      </c>
    </row>
    <row r="38" spans="1:14">
      <c r="A38" s="2778" t="s">
        <v>2536</v>
      </c>
      <c r="B38" s="2779"/>
      <c r="C38" s="2779"/>
      <c r="D38" s="2779"/>
      <c r="E38" s="2779"/>
      <c r="F38" s="2779"/>
      <c r="G38" s="2780"/>
      <c r="I38" s="2796">
        <v>25</v>
      </c>
      <c r="J38" s="2796">
        <v>89.3</v>
      </c>
      <c r="K38" s="2796">
        <f t="shared" si="3"/>
        <v>5.7000000000000028</v>
      </c>
      <c r="L38" s="2796" t="s">
        <v>2565</v>
      </c>
      <c r="N38" s="3149">
        <v>8</v>
      </c>
    </row>
    <row r="39" spans="1:14">
      <c r="A39" s="2778"/>
      <c r="B39" s="2779"/>
      <c r="C39" s="2779"/>
      <c r="D39" s="2779"/>
      <c r="E39" s="2779"/>
      <c r="F39" s="2779"/>
      <c r="G39" s="2780"/>
      <c r="I39" s="2796">
        <v>30</v>
      </c>
      <c r="J39" s="2796">
        <v>93.8</v>
      </c>
      <c r="K39" s="2796">
        <f t="shared" si="3"/>
        <v>4.5</v>
      </c>
      <c r="L39" s="2796" t="s">
        <v>2566</v>
      </c>
      <c r="N39" s="3149">
        <v>6</v>
      </c>
    </row>
    <row r="40" spans="1:14">
      <c r="A40" s="2781" t="s">
        <v>2537</v>
      </c>
      <c r="B40" s="2782"/>
      <c r="C40" s="2782"/>
      <c r="D40" s="2782"/>
      <c r="E40" s="2782"/>
      <c r="F40" s="2782"/>
      <c r="G40" s="2783"/>
      <c r="I40" s="2796">
        <v>35</v>
      </c>
      <c r="J40" s="2796">
        <v>97.2</v>
      </c>
      <c r="K40" s="2796">
        <f t="shared" si="3"/>
        <v>3.4000000000000057</v>
      </c>
      <c r="L40" s="2796" t="s">
        <v>2567</v>
      </c>
      <c r="N40" s="3149">
        <v>3</v>
      </c>
    </row>
    <row r="41" spans="1:14">
      <c r="A41" s="2784" t="s">
        <v>2538</v>
      </c>
      <c r="B41" s="2785" t="s">
        <v>2539</v>
      </c>
      <c r="C41" s="2786" t="s">
        <v>2540</v>
      </c>
      <c r="D41" s="2786" t="s">
        <v>2541</v>
      </c>
      <c r="E41" s="2787"/>
      <c r="F41" s="2788"/>
      <c r="G41" s="2789"/>
      <c r="I41" s="2796">
        <v>40</v>
      </c>
      <c r="J41" s="2796">
        <v>100</v>
      </c>
      <c r="K41" s="2796">
        <f t="shared" si="3"/>
        <v>2.7999999999999972</v>
      </c>
    </row>
    <row r="42" spans="1:14">
      <c r="A42" s="2784" t="s">
        <v>2542</v>
      </c>
      <c r="B42" s="2785" t="s">
        <v>2543</v>
      </c>
      <c r="C42" s="2786" t="s">
        <v>2544</v>
      </c>
      <c r="D42" s="2790" t="s">
        <v>2545</v>
      </c>
      <c r="E42" s="2782" t="s">
        <v>2546</v>
      </c>
      <c r="F42" s="2782"/>
      <c r="G42" s="2783"/>
    </row>
    <row r="43" spans="1:14">
      <c r="A43" s="2784" t="s">
        <v>2547</v>
      </c>
      <c r="B43" s="2785" t="s">
        <v>2548</v>
      </c>
      <c r="C43" s="2786" t="s">
        <v>2549</v>
      </c>
      <c r="D43" s="2786" t="s">
        <v>2550</v>
      </c>
      <c r="E43" s="2787" t="s">
        <v>2551</v>
      </c>
      <c r="F43" s="2788"/>
      <c r="G43" s="2789"/>
      <c r="I43" s="2796" t="s">
        <v>2559</v>
      </c>
      <c r="J43" s="2796" t="s">
        <v>2570</v>
      </c>
    </row>
    <row r="44" spans="1:14">
      <c r="A44" s="2784" t="s">
        <v>2552</v>
      </c>
      <c r="B44" s="2785" t="s">
        <v>2553</v>
      </c>
      <c r="C44" s="2786" t="s">
        <v>2554</v>
      </c>
      <c r="D44" s="2790">
        <v>0.5</v>
      </c>
      <c r="E44" s="2787" t="s">
        <v>2555</v>
      </c>
      <c r="F44" s="2788"/>
      <c r="G44" s="2789"/>
      <c r="I44" s="2796">
        <v>30</v>
      </c>
      <c r="J44" s="2796">
        <v>81.7</v>
      </c>
    </row>
    <row r="45" spans="1:14" ht="15" thickBot="1">
      <c r="A45" s="2791" t="s">
        <v>2556</v>
      </c>
      <c r="B45" s="2792" t="s">
        <v>2543</v>
      </c>
      <c r="C45" s="2793" t="s">
        <v>2543</v>
      </c>
      <c r="D45" s="2793" t="s">
        <v>2557</v>
      </c>
      <c r="E45" s="2794" t="s">
        <v>2558</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3382</v>
      </c>
    </row>
    <row r="50" spans="1:4">
      <c r="A50" s="3141" t="s">
        <v>3383</v>
      </c>
      <c r="B50" s="3141" t="s">
        <v>3384</v>
      </c>
      <c r="C50" s="3141" t="s">
        <v>3385</v>
      </c>
      <c r="D50" s="3141" t="s">
        <v>3386</v>
      </c>
    </row>
    <row r="51" spans="1:4">
      <c r="A51" s="3141" t="s">
        <v>3387</v>
      </c>
      <c r="B51" s="2761">
        <f>B52+B53</f>
        <v>15000</v>
      </c>
      <c r="C51" s="3142">
        <f>D51/B51</f>
        <v>2666.6666666666665</v>
      </c>
      <c r="D51" s="2761">
        <f>D52+D53</f>
        <v>40000000</v>
      </c>
    </row>
    <row r="52" spans="1:4">
      <c r="A52" s="3143" t="s">
        <v>3388</v>
      </c>
      <c r="B52" s="3144">
        <v>10000</v>
      </c>
      <c r="C52" s="3144">
        <v>1500</v>
      </c>
      <c r="D52" s="3145">
        <f>C52*B52</f>
        <v>15000000</v>
      </c>
    </row>
    <row r="53" spans="1:4">
      <c r="A53" s="3143" t="s">
        <v>3389</v>
      </c>
      <c r="B53" s="3144">
        <v>5000</v>
      </c>
      <c r="C53" s="3144">
        <v>5000</v>
      </c>
      <c r="D53" s="3145">
        <f>C53*B53</f>
        <v>25000000</v>
      </c>
    </row>
    <row r="54" spans="1:4">
      <c r="A54" s="3141" t="s">
        <v>3390</v>
      </c>
      <c r="B54" s="2761">
        <f>B51</f>
        <v>15000</v>
      </c>
      <c r="C54" s="2767">
        <v>700</v>
      </c>
      <c r="D54" s="2761">
        <f t="shared" ref="D54:D55" si="5">C54*B54</f>
        <v>10500000</v>
      </c>
    </row>
    <row r="55" spans="1:4">
      <c r="A55" s="3141" t="s">
        <v>3391</v>
      </c>
      <c r="B55" s="2761">
        <f>B51</f>
        <v>15000</v>
      </c>
      <c r="C55" s="2767">
        <v>1500</v>
      </c>
      <c r="D55" s="2761">
        <f t="shared" si="5"/>
        <v>22500000</v>
      </c>
    </row>
    <row r="56" spans="1:4">
      <c r="A56" s="3141" t="s">
        <v>3392</v>
      </c>
      <c r="B56" s="2761">
        <f>B51</f>
        <v>15000</v>
      </c>
      <c r="C56" s="3146">
        <f>C51+C54+C55</f>
        <v>4866.6666666666661</v>
      </c>
      <c r="D56" s="2761">
        <f>D51+D54+D55</f>
        <v>73000000</v>
      </c>
    </row>
    <row r="58" spans="1:4">
      <c r="A58" s="3141" t="s">
        <v>3393</v>
      </c>
      <c r="B58" s="3147">
        <v>0.05</v>
      </c>
      <c r="C58" s="2761">
        <f>C56*(1+B58)</f>
        <v>5110</v>
      </c>
      <c r="D58" s="2761">
        <f>D56*B58</f>
        <v>3650000</v>
      </c>
    </row>
    <row r="60" spans="1:4">
      <c r="A60" s="3141" t="s">
        <v>3394</v>
      </c>
      <c r="B60" s="2767">
        <v>3500</v>
      </c>
      <c r="C60" s="2767">
        <f>C53</f>
        <v>5000</v>
      </c>
      <c r="D60" s="2761">
        <f>C60*B60</f>
        <v>17500000</v>
      </c>
    </row>
    <row r="62" spans="1:4">
      <c r="A62" s="3141" t="s">
        <v>3395</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2163</v>
      </c>
      <c r="B1" s="3226" t="str">
        <f>IF(B10="北京市","北京市",C10)&amp;F10&amp;IF(结果表!G1="在建","出让国有建设用地使用权及在建建筑物",IF(结果表!G1="土地","出让国有建设用地使用权",))&amp;B9&amp;"预评估"</f>
        <v>北京市朝阳区慧忠路5号B1501.B1502.B1503.B1505.B1506.B1507房地产抵押价值预评估</v>
      </c>
      <c r="C1" s="3227"/>
      <c r="D1" s="3227"/>
      <c r="E1" s="3227"/>
      <c r="F1" s="3227"/>
      <c r="G1" s="3227"/>
      <c r="H1" s="3227"/>
      <c r="I1" s="322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北京市朝阳区慧忠路5号B1501.B1502.B1503.B1505.B1506.B1507房地产抵押价值</v>
      </c>
      <c r="T1" s="1618"/>
      <c r="U1" s="1618"/>
      <c r="V1" s="1618"/>
      <c r="W1" s="1618"/>
      <c r="X1" s="1618"/>
      <c r="Y1" s="1618"/>
      <c r="Z1" s="1618"/>
      <c r="AA1" s="1618"/>
      <c r="AB1" s="1618"/>
    </row>
    <row r="2" spans="1:30">
      <c r="A2" s="2181" t="s">
        <v>2164</v>
      </c>
      <c r="B2" s="122"/>
      <c r="D2" s="2444"/>
      <c r="E2" s="2438"/>
      <c r="F2" s="2438"/>
      <c r="G2" s="2439"/>
      <c r="H2" s="2439"/>
      <c r="I2" s="2439"/>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北京市朝阳区慧忠路5号B1501.B1502.B1503.B1505.B1506.B1507房地产</v>
      </c>
      <c r="T2" s="1618"/>
      <c r="U2" s="1618"/>
      <c r="V2" s="1618"/>
      <c r="W2" s="1618"/>
      <c r="X2" s="1618"/>
      <c r="Y2" s="1618"/>
      <c r="Z2" s="1618"/>
      <c r="AA2" s="1618"/>
      <c r="AB2" s="1618"/>
    </row>
    <row r="3" spans="1:30">
      <c r="A3" s="294" t="s">
        <v>2165</v>
      </c>
      <c r="B3" s="3160">
        <v>45775</v>
      </c>
      <c r="C3" s="2185" t="s">
        <v>2166</v>
      </c>
      <c r="D3" s="2184">
        <f>B3</f>
        <v>45775</v>
      </c>
      <c r="E3" s="2439"/>
      <c r="F3" s="2439"/>
      <c r="G3" s="2439"/>
      <c r="H3" s="2439"/>
      <c r="I3" s="2439"/>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2167</v>
      </c>
      <c r="B4" s="2186" t="s">
        <v>3434</v>
      </c>
      <c r="C4" s="2187">
        <f ca="1">SUMIF(注册房地产估价师,B4,估价师及机构信息!B3:B24)</f>
        <v>1419970001</v>
      </c>
      <c r="D4" s="2186" t="s">
        <v>3435</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3"/>
      <c r="K4" s="2188" t="str">
        <f ca="1">CONCATENATE(B4,"（注册号：",C4,")、",D4,"（注册号：",E4,")")</f>
        <v>吴薇（注册号：1419970001)、郑燚（注册号：1120070131)</v>
      </c>
      <c r="L4" s="2183"/>
      <c r="M4" s="2183"/>
      <c r="N4" s="2181"/>
      <c r="O4" s="1466"/>
      <c r="P4" s="2181"/>
      <c r="Q4" s="2181"/>
      <c r="R4" s="2181"/>
      <c r="S4" s="1561"/>
      <c r="T4" s="1618"/>
      <c r="U4" s="1618"/>
      <c r="V4" s="1618"/>
      <c r="W4" s="1618"/>
      <c r="X4" s="1618"/>
      <c r="Y4" s="1618"/>
      <c r="Z4" s="1618"/>
      <c r="AA4" s="1618"/>
      <c r="AB4" s="1618"/>
    </row>
    <row r="5" spans="1:30" ht="13.8" thickTop="1">
      <c r="A5" s="2189" t="s">
        <v>2168</v>
      </c>
      <c r="B5" s="2190"/>
      <c r="C5" s="2191"/>
      <c r="D5" s="2192"/>
      <c r="E5" s="2439"/>
      <c r="F5" s="2439"/>
      <c r="G5" s="2439"/>
      <c r="H5" s="2439"/>
      <c r="I5" s="2439"/>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2169</v>
      </c>
      <c r="B6" s="2194"/>
      <c r="C6" s="2195"/>
      <c r="D6" s="2196"/>
      <c r="E6" s="2438"/>
      <c r="F6" s="2439"/>
      <c r="G6" s="2439"/>
      <c r="H6" s="2439"/>
      <c r="I6" s="2439"/>
      <c r="J6" s="2243"/>
      <c r="K6" s="2398" t="str">
        <f>IF(COUNTIF(B6,"*上海银行*"),"上海银行","")</f>
        <v/>
      </c>
      <c r="L6" s="2396"/>
      <c r="M6" s="2396"/>
      <c r="N6" s="2243"/>
      <c r="O6" s="1670"/>
      <c r="P6" s="2243"/>
      <c r="Q6" s="2243"/>
      <c r="R6" s="2243"/>
    </row>
    <row r="7" spans="1:30">
      <c r="A7" s="2193" t="s">
        <v>2170</v>
      </c>
      <c r="B7" s="2197"/>
      <c r="C7" s="2195"/>
      <c r="D7" s="2196"/>
      <c r="E7" s="2438"/>
      <c r="F7" s="2439"/>
      <c r="G7" s="2439"/>
      <c r="H7" s="2439"/>
      <c r="I7" s="2439"/>
      <c r="J7" s="2243"/>
      <c r="K7" s="2399"/>
      <c r="L7" s="2396"/>
      <c r="M7" s="2396"/>
      <c r="N7" s="2243"/>
      <c r="O7" s="1670"/>
      <c r="P7" s="2243"/>
      <c r="Q7" s="2243"/>
      <c r="R7" s="2243"/>
    </row>
    <row r="8" spans="1:30">
      <c r="A8" s="2198" t="s">
        <v>2171</v>
      </c>
      <c r="B8" s="2199" t="s">
        <v>3407</v>
      </c>
      <c r="C8" s="2200"/>
      <c r="D8" s="3229" t="s">
        <v>2172</v>
      </c>
      <c r="E8" s="2201" t="s">
        <v>3408</v>
      </c>
      <c r="F8" s="2202"/>
      <c r="G8" s="2439"/>
      <c r="H8" s="2439"/>
      <c r="I8" s="2439"/>
      <c r="J8" s="2243"/>
      <c r="K8" s="2397"/>
      <c r="L8" s="2396"/>
      <c r="M8" s="2396"/>
      <c r="N8" s="2243"/>
      <c r="O8" s="1670"/>
      <c r="P8" s="2243"/>
      <c r="Q8" s="2243"/>
      <c r="R8" s="2243"/>
    </row>
    <row r="9" spans="1:30" ht="13.8" thickBot="1">
      <c r="A9" s="2203" t="s">
        <v>2173</v>
      </c>
      <c r="B9" s="2204" t="s">
        <v>3408</v>
      </c>
      <c r="C9" s="2205"/>
      <c r="D9" s="3230"/>
      <c r="E9" s="2204" t="s">
        <v>587</v>
      </c>
      <c r="F9" s="2206"/>
      <c r="G9" s="2440"/>
      <c r="H9" s="2440"/>
      <c r="I9" s="2440"/>
      <c r="J9" s="2243"/>
      <c r="K9" s="2399"/>
      <c r="L9" s="2396"/>
      <c r="M9" s="2396"/>
      <c r="N9" s="2243"/>
      <c r="O9" s="1670"/>
      <c r="P9" s="2243"/>
      <c r="Q9" s="2243"/>
      <c r="R9" s="2243"/>
    </row>
    <row r="10" spans="1:30" ht="13.8" thickTop="1">
      <c r="A10" s="2207" t="s">
        <v>2174</v>
      </c>
      <c r="B10" s="2208" t="s">
        <v>3432</v>
      </c>
      <c r="C10" s="2209"/>
      <c r="D10" s="2192"/>
      <c r="E10" s="2210" t="s">
        <v>2175</v>
      </c>
      <c r="F10" s="3161" t="s">
        <v>3442</v>
      </c>
      <c r="G10" s="2441"/>
      <c r="H10" s="2442"/>
      <c r="I10" s="2443"/>
      <c r="J10" s="2243"/>
      <c r="K10" s="2399"/>
      <c r="L10" s="2396"/>
      <c r="M10" s="2396"/>
      <c r="N10" s="2243"/>
      <c r="O10" s="1670"/>
      <c r="P10" s="2243"/>
      <c r="Q10" s="2243"/>
      <c r="R10" s="2243"/>
    </row>
    <row r="11" spans="1:30" ht="36">
      <c r="A11" s="2211" t="s">
        <v>2176</v>
      </c>
      <c r="B11" s="2212" t="s">
        <v>3433</v>
      </c>
      <c r="C11" s="3162" t="s">
        <v>3443</v>
      </c>
      <c r="D11" s="2213"/>
      <c r="E11" s="2181"/>
      <c r="F11" s="2181"/>
      <c r="G11" s="2181"/>
      <c r="H11" s="2181"/>
      <c r="I11" s="2181"/>
      <c r="J11" s="2798"/>
      <c r="K11" s="2396"/>
      <c r="L11" s="2396"/>
      <c r="M11" s="2396"/>
      <c r="N11" s="2243"/>
      <c r="O11" s="1670"/>
      <c r="P11" s="2243"/>
      <c r="Q11" s="2243"/>
      <c r="R11" s="2243"/>
    </row>
    <row r="12" spans="1:30">
      <c r="A12" s="2214" t="s">
        <v>2177</v>
      </c>
      <c r="B12" s="315" t="s">
        <v>2178</v>
      </c>
      <c r="C12" s="2215" t="s">
        <v>2179</v>
      </c>
      <c r="D12" s="2215" t="s">
        <v>2180</v>
      </c>
      <c r="E12" s="2215" t="s">
        <v>2181</v>
      </c>
      <c r="F12" s="2215" t="s">
        <v>2182</v>
      </c>
      <c r="G12" s="2215" t="s">
        <v>2183</v>
      </c>
      <c r="H12" s="2215" t="s">
        <v>2184</v>
      </c>
      <c r="I12" s="2797" t="s">
        <v>2571</v>
      </c>
      <c r="J12" s="2799"/>
      <c r="K12" s="2396"/>
      <c r="L12" s="2396"/>
      <c r="M12" s="2243"/>
      <c r="N12" s="1670"/>
      <c r="O12" s="2243"/>
      <c r="P12" s="2243"/>
      <c r="Q12" s="2243"/>
      <c r="AD12" s="1618"/>
    </row>
    <row r="13" spans="1:30">
      <c r="A13" s="3118" t="s">
        <v>3327</v>
      </c>
      <c r="B13" s="2216" t="s">
        <v>2185</v>
      </c>
      <c r="C13" s="803"/>
      <c r="D13" s="803"/>
      <c r="E13" s="803">
        <v>53670</v>
      </c>
      <c r="F13" s="3164" t="s">
        <v>3446</v>
      </c>
      <c r="G13" s="803"/>
      <c r="H13" s="803"/>
      <c r="I13" s="803"/>
      <c r="J13" s="2799"/>
      <c r="K13" s="2396"/>
      <c r="L13" s="2396"/>
      <c r="M13" s="2243"/>
      <c r="N13" s="1670"/>
      <c r="O13" s="2243"/>
      <c r="P13" s="2243"/>
      <c r="Q13" s="2243"/>
      <c r="AD13" s="1618"/>
    </row>
    <row r="14" spans="1:30">
      <c r="A14" s="1018"/>
      <c r="B14" s="2216" t="s">
        <v>2186</v>
      </c>
      <c r="C14" s="2217"/>
      <c r="D14" s="2217"/>
      <c r="E14" s="2217">
        <v>50</v>
      </c>
      <c r="F14" s="2217"/>
      <c r="G14" s="2217"/>
      <c r="H14" s="2217"/>
      <c r="I14" s="2217"/>
      <c r="J14" s="2800"/>
      <c r="K14" s="2396"/>
      <c r="L14" s="2396"/>
      <c r="M14" s="2243"/>
      <c r="N14" s="1670"/>
      <c r="O14" s="2243"/>
      <c r="P14" s="2243"/>
      <c r="Q14" s="2243"/>
      <c r="AD14" s="1618"/>
    </row>
    <row r="15" spans="1:30">
      <c r="A15" s="312"/>
      <c r="B15" s="2218" t="s">
        <v>2187</v>
      </c>
      <c r="C15" s="2219" t="str">
        <f>IF(A13="出让",IF(C13="","",ROUNDDOWN(MIN((C13-$D$3)/365,C14),2)),C14)</f>
        <v/>
      </c>
      <c r="D15" s="2219" t="str">
        <f>IF(A13="出让",IF(D13="","",ROUNDDOWN(MIN((D13-$D$3)/365,D14),2)),D14)</f>
        <v/>
      </c>
      <c r="E15" s="2219">
        <f>IF(A13="出让",IF(E13="","",ROUNDDOWN(MIN((E13-$D$3)/365,E14),2)),E14)</f>
        <v>21.63</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1"/>
      <c r="K15" s="1670"/>
      <c r="L15" s="1670"/>
      <c r="M15" s="2243"/>
      <c r="N15" s="1670"/>
      <c r="O15" s="2243"/>
      <c r="P15" s="2243"/>
      <c r="Q15" s="2243"/>
      <c r="AD15" s="1618"/>
    </row>
    <row r="16" spans="1:30">
      <c r="A16" s="2210" t="s">
        <v>2188</v>
      </c>
      <c r="B16" s="3236"/>
      <c r="C16" s="3237"/>
      <c r="D16" s="3238"/>
      <c r="E16" s="2220" t="s">
        <v>2189</v>
      </c>
      <c r="F16" s="3239"/>
      <c r="G16" s="3240"/>
      <c r="H16" s="3240"/>
      <c r="I16" s="3241"/>
      <c r="J16" s="2243"/>
      <c r="K16" s="2400"/>
      <c r="L16" s="1670"/>
      <c r="M16" s="1670"/>
      <c r="N16" s="2243"/>
      <c r="O16" s="1670"/>
      <c r="P16" s="2243"/>
      <c r="Q16" s="2243"/>
      <c r="R16" s="2243"/>
    </row>
    <row r="17" spans="1:28">
      <c r="A17" s="305" t="s">
        <v>2190</v>
      </c>
      <c r="B17" s="294" t="s">
        <v>2191</v>
      </c>
      <c r="C17" s="8">
        <f>'数据-汇总表'!E3</f>
        <v>170.67</v>
      </c>
      <c r="D17" s="1256" t="s">
        <v>2192</v>
      </c>
      <c r="E17" s="3242" t="s">
        <v>2193</v>
      </c>
      <c r="F17" s="3243"/>
      <c r="G17" s="3243"/>
      <c r="H17" s="3243"/>
      <c r="I17" s="3244"/>
      <c r="J17" s="2243"/>
      <c r="K17" s="2401"/>
      <c r="L17" s="1670"/>
      <c r="M17" s="1670"/>
      <c r="N17" s="2243"/>
      <c r="O17" s="1670"/>
      <c r="P17" s="2243"/>
      <c r="Q17" s="2243"/>
      <c r="R17" s="2243"/>
      <c r="S17" s="2243"/>
      <c r="T17" s="2243"/>
      <c r="U17" s="2243"/>
      <c r="V17" s="2243"/>
    </row>
    <row r="18" spans="1:28" ht="24.6" thickBot="1">
      <c r="A18" s="2221" t="s">
        <v>2194</v>
      </c>
      <c r="B18" s="1027" t="s">
        <v>2195</v>
      </c>
      <c r="C18" s="2222">
        <f>'数据-汇总表'!D3</f>
        <v>0</v>
      </c>
      <c r="D18" s="1029" t="s">
        <v>2196</v>
      </c>
      <c r="E18" s="3245" t="s">
        <v>2197</v>
      </c>
      <c r="F18" s="3246"/>
      <c r="G18" s="3246"/>
      <c r="H18" s="3246"/>
      <c r="I18" s="3247"/>
      <c r="J18" s="2243"/>
      <c r="K18" s="2401"/>
      <c r="L18" s="1670"/>
      <c r="M18" s="1670"/>
      <c r="N18" s="2243"/>
      <c r="O18" s="1670"/>
      <c r="P18" s="2243"/>
      <c r="Q18" s="2243"/>
      <c r="R18" s="2243"/>
      <c r="S18" s="2243"/>
      <c r="T18" s="2243"/>
      <c r="U18" s="2243"/>
      <c r="V18" s="2243"/>
    </row>
    <row r="19" spans="1:28" ht="54" thickTop="1" thickBot="1">
      <c r="A19" s="319" t="s">
        <v>1055</v>
      </c>
      <c r="B19" s="299" t="s">
        <v>2198</v>
      </c>
      <c r="C19" s="1455" t="s">
        <v>3437</v>
      </c>
      <c r="D19" s="1456" t="s">
        <v>2199</v>
      </c>
      <c r="E19" s="1457" t="s">
        <v>3441</v>
      </c>
      <c r="F19" s="1458" t="str">
        <f>IF(AND(C19="是",E19="否"),"是否提供他项权证或相关说明","")</f>
        <v>是否提供他项权证或相关说明</v>
      </c>
      <c r="G19" s="1459"/>
      <c r="H19" s="2439"/>
      <c r="I19" s="2439"/>
      <c r="J19" s="2243"/>
      <c r="K19" s="2399"/>
      <c r="L19" s="2396"/>
      <c r="M19" s="2396"/>
      <c r="N19" s="2243"/>
      <c r="O19" s="1670"/>
      <c r="P19" s="2243"/>
      <c r="Q19" s="2243"/>
      <c r="R19" s="2243"/>
      <c r="S19" s="2243"/>
      <c r="T19" s="2243"/>
      <c r="U19" s="2243"/>
      <c r="V19" s="2243"/>
    </row>
    <row r="20" spans="1:28">
      <c r="A20" s="2414" t="s">
        <v>2200</v>
      </c>
      <c r="B20" s="3232" t="s">
        <v>2201</v>
      </c>
      <c r="C20" s="3233"/>
      <c r="D20" s="3234" t="s">
        <v>2202</v>
      </c>
      <c r="E20" s="3235"/>
      <c r="F20" s="2427" t="s">
        <v>1056</v>
      </c>
      <c r="G20" s="2439"/>
      <c r="H20" s="2439"/>
      <c r="I20" s="2439"/>
      <c r="J20" s="2243"/>
      <c r="K20" s="3231"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4"/>
      <c r="B21" s="2415" t="s">
        <v>2204</v>
      </c>
      <c r="C21" s="2294" t="s">
        <v>1057</v>
      </c>
      <c r="D21" s="1460" t="s">
        <v>2205</v>
      </c>
      <c r="E21" s="2416" t="s">
        <v>1057</v>
      </c>
      <c r="F21" s="2428"/>
      <c r="G21" s="2439"/>
      <c r="H21" s="2439"/>
      <c r="I21" s="2439"/>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4"/>
      <c r="B22" s="2417" t="s">
        <v>2206</v>
      </c>
      <c r="C22" s="2294" t="s">
        <v>1058</v>
      </c>
      <c r="D22" s="2439"/>
      <c r="E22" s="2439"/>
      <c r="F22" s="2439"/>
      <c r="G22" s="2439"/>
      <c r="H22" s="2439"/>
      <c r="I22" s="2439"/>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2207</v>
      </c>
      <c r="B23" s="2291" t="s">
        <v>2208</v>
      </c>
      <c r="C23" s="2419"/>
      <c r="D23" s="2420" t="s">
        <v>2208</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8" thickTop="1">
      <c r="A27" s="3220" t="s">
        <v>2209</v>
      </c>
      <c r="B27" s="312" t="s">
        <v>2210</v>
      </c>
      <c r="C27" s="2223" t="s">
        <v>3440</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20"/>
      <c r="B28" s="294" t="s">
        <v>2211</v>
      </c>
      <c r="C28" s="2225"/>
      <c r="D28" s="2226"/>
      <c r="E28" s="2439"/>
      <c r="F28" s="2439"/>
      <c r="G28" s="2439"/>
      <c r="H28" s="2439"/>
      <c r="I28" s="2439"/>
      <c r="J28" s="2243"/>
      <c r="K28" s="2399"/>
      <c r="L28" s="2396"/>
      <c r="M28" s="2396"/>
      <c r="N28" s="2243"/>
      <c r="O28" s="1670"/>
      <c r="P28" s="2243"/>
      <c r="Q28" s="2243"/>
      <c r="R28" s="2243"/>
      <c r="S28" s="2243"/>
      <c r="T28" s="2243"/>
      <c r="U28" s="2243"/>
      <c r="V28" s="2243"/>
    </row>
    <row r="29" spans="1:28">
      <c r="A29" s="3220"/>
      <c r="B29" s="294" t="s">
        <v>2212</v>
      </c>
      <c r="C29" s="2227"/>
      <c r="D29" s="2228"/>
      <c r="E29" s="2439"/>
      <c r="F29" s="2439"/>
      <c r="G29" s="2439"/>
      <c r="H29" s="2439"/>
      <c r="I29" s="2439"/>
      <c r="J29" s="2243"/>
      <c r="K29" s="2399"/>
      <c r="L29" s="2396"/>
      <c r="M29" s="2396"/>
      <c r="N29" s="2243"/>
      <c r="O29" s="1670"/>
      <c r="P29" s="2243"/>
      <c r="Q29" s="2243"/>
      <c r="R29" s="2243"/>
      <c r="S29" s="2243"/>
      <c r="T29" s="2243"/>
      <c r="U29" s="2243"/>
      <c r="V29" s="2243"/>
    </row>
    <row r="30" spans="1:28">
      <c r="A30" s="3221"/>
      <c r="B30" s="294" t="s">
        <v>2213</v>
      </c>
      <c r="C30" s="3222"/>
      <c r="D30" s="3223"/>
      <c r="E30" s="2439"/>
      <c r="F30" s="2439"/>
      <c r="G30" s="2439"/>
      <c r="H30" s="2439"/>
      <c r="I30" s="2439"/>
      <c r="J30" s="2243"/>
      <c r="K30" s="2399"/>
      <c r="L30" s="2396"/>
      <c r="M30" s="2396"/>
      <c r="N30" s="2243"/>
      <c r="O30" s="1670"/>
      <c r="P30" s="2243"/>
      <c r="Q30" s="2243"/>
      <c r="R30" s="2243"/>
      <c r="S30" s="2243"/>
      <c r="T30" s="2243"/>
      <c r="U30" s="2243"/>
      <c r="V30" s="2243"/>
    </row>
    <row r="31" spans="1:28">
      <c r="A31" s="3224" t="s">
        <v>2214</v>
      </c>
      <c r="B31" s="2229" t="s">
        <v>3439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25"/>
      <c r="B32" s="2229"/>
      <c r="C32" s="12" t="str">
        <f>IF(B32="现房","成新及维护状况是否正常",IF(B32="在建","工程状态是否正常",IF(B32="土地","是否闲置","-")))</f>
        <v>-</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25"/>
      <c r="B33" s="2232"/>
      <c r="C33" s="1478" t="str">
        <f>IF(B33="现房","成新及维护状况是否正常",IF(B33="在建","工程状态是否正常",IF(B33="土地","是否闲置","-")))</f>
        <v>-</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2215</v>
      </c>
      <c r="B34" s="1870"/>
      <c r="C34" s="1870"/>
      <c r="D34" s="1870"/>
      <c r="E34" s="1870"/>
      <c r="F34" s="1870"/>
      <c r="G34" s="1870"/>
      <c r="H34" s="1870"/>
      <c r="I34" s="2439"/>
      <c r="J34" s="2243"/>
      <c r="K34" s="8">
        <f>COUNTIF(B34:H34,"——")</f>
        <v>0</v>
      </c>
      <c r="L34" s="315" t="s">
        <v>2216</v>
      </c>
      <c r="M34" s="315" t="s">
        <v>2217</v>
      </c>
      <c r="N34" s="315" t="s">
        <v>2218</v>
      </c>
      <c r="O34" s="315" t="s">
        <v>2219</v>
      </c>
      <c r="P34" s="315" t="s">
        <v>2220</v>
      </c>
      <c r="Q34" s="315" t="s">
        <v>2221</v>
      </c>
      <c r="R34" s="315" t="s">
        <v>2222</v>
      </c>
      <c r="S34" s="3219" t="s">
        <v>2223</v>
      </c>
      <c r="T34" s="315" t="str">
        <f>NUMBERSTRING(7-K34,1)&amp;"通"</f>
        <v>七通</v>
      </c>
      <c r="U34" s="2243"/>
      <c r="V34" s="2243"/>
    </row>
    <row r="35" spans="1:30">
      <c r="A35" s="2234"/>
      <c r="B35" s="3219" t="s">
        <v>2224</v>
      </c>
      <c r="C35" s="3219"/>
      <c r="D35" s="3219"/>
      <c r="E35" s="3219"/>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3"/>
      <c r="V35" s="2243"/>
    </row>
    <row r="36" spans="1:30">
      <c r="A36" s="2182"/>
      <c r="B36" s="8" t="s">
        <v>2180</v>
      </c>
      <c r="C36" s="8" t="s">
        <v>2181</v>
      </c>
      <c r="D36" s="8" t="s">
        <v>2179</v>
      </c>
      <c r="E36" s="8" t="s">
        <v>2184</v>
      </c>
      <c r="F36" s="2797" t="s">
        <v>2574</v>
      </c>
      <c r="G36" s="2439"/>
      <c r="H36" s="2439"/>
      <c r="I36" s="2439"/>
      <c r="J36" s="2243"/>
      <c r="K36" s="2399"/>
      <c r="L36" s="2396"/>
      <c r="M36" s="2396"/>
      <c r="N36" s="2243"/>
      <c r="O36" s="1670"/>
      <c r="P36" s="2243"/>
      <c r="Q36" s="2243"/>
      <c r="R36" s="2243"/>
      <c r="S36" s="2243"/>
      <c r="T36" s="2243"/>
      <c r="U36" s="2243"/>
      <c r="V36" s="2243"/>
    </row>
    <row r="37" spans="1:30">
      <c r="A37" s="2412" t="s">
        <v>2225</v>
      </c>
      <c r="B37" s="2235"/>
      <c r="C37" s="2235" t="s">
        <v>296</v>
      </c>
      <c r="D37" s="2235"/>
      <c r="E37" s="2235"/>
      <c r="F37" s="2235"/>
      <c r="G37" s="2439"/>
      <c r="H37" s="2439"/>
      <c r="I37" s="2439"/>
      <c r="J37" s="2243"/>
      <c r="K37" s="2399"/>
      <c r="L37" s="2396"/>
      <c r="M37" s="2396"/>
      <c r="N37" s="2243"/>
      <c r="O37" s="1670"/>
      <c r="P37" s="2243"/>
      <c r="Q37" s="2243"/>
      <c r="R37" s="2243"/>
      <c r="S37" s="2243"/>
      <c r="T37" s="2243"/>
      <c r="U37" s="2243"/>
      <c r="V37" s="2243"/>
    </row>
    <row r="38" spans="1:30" ht="13.8" thickBot="1">
      <c r="A38" s="2413" t="s">
        <v>2226</v>
      </c>
      <c r="B38" s="2236"/>
      <c r="C38" s="2236" t="s">
        <v>2927</v>
      </c>
      <c r="D38" s="2236"/>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4" thickTop="1" thickBot="1">
      <c r="A39" s="2237" t="s">
        <v>2227</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3"/>
      <c r="K40" s="2398"/>
      <c r="L40" s="1670"/>
      <c r="M40" s="1670"/>
      <c r="N40" s="2243"/>
      <c r="O40" s="1670"/>
      <c r="P40" s="2243"/>
      <c r="Q40" s="2243"/>
      <c r="R40" s="2243"/>
      <c r="S40" s="2243"/>
      <c r="T40" s="2243"/>
      <c r="U40" s="2243"/>
      <c r="V40" s="2243"/>
    </row>
    <row r="41" spans="1:30">
      <c r="A41" s="2240" t="s">
        <v>2228</v>
      </c>
      <c r="B41" s="1627"/>
      <c r="C41" s="1281"/>
      <c r="D41" s="2181"/>
      <c r="E41" s="2181"/>
      <c r="F41" s="2181"/>
      <c r="G41" s="2181"/>
      <c r="H41" s="2181"/>
      <c r="I41" s="1466"/>
      <c r="J41" s="2243"/>
      <c r="K41" s="2399"/>
      <c r="L41" s="2396"/>
      <c r="M41" s="2396"/>
      <c r="N41" s="2243"/>
      <c r="O41" s="1670"/>
      <c r="P41" s="2243"/>
      <c r="Q41" s="2243"/>
      <c r="R41" s="2243"/>
      <c r="S41" s="2243"/>
      <c r="T41" s="2243"/>
      <c r="U41" s="2243"/>
      <c r="V41" s="2243"/>
    </row>
    <row r="42" spans="1:30" ht="25.2">
      <c r="A42" s="315"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1091.68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1091.68</v>
      </c>
      <c r="H5" s="13">
        <f t="shared" ref="H5:AT5" si="0">SUM(H13:H656)</f>
        <v>1091.68</v>
      </c>
      <c r="I5" s="13">
        <f t="shared" si="0"/>
        <v>1091.68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170.67</v>
      </c>
      <c r="BA5" s="15">
        <f t="shared" si="1"/>
        <v>170.67</v>
      </c>
      <c r="BB5" s="15">
        <f t="shared" si="1"/>
        <v>170.67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面积信息!E2</f>
        <v>B1501</v>
      </c>
      <c r="D13" s="1513"/>
      <c r="E13" s="13">
        <f>IF($C$3="是",ROUND($A$3*G13/$B$3,2),ROUND($A$3*(G13-AT13)/$B$3,2))</f>
        <v>0</v>
      </c>
      <c r="F13" s="29"/>
      <c r="G13" s="30">
        <f>H13+AC13+AT13</f>
        <v>191.56</v>
      </c>
      <c r="H13" s="17">
        <f>SUMIF(I$12:AB$12,"总值",I13:AB13)</f>
        <v>191.56</v>
      </c>
      <c r="I13" s="1514">
        <f>面积信息!I2</f>
        <v>191.56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B1501</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面积信息!E3</f>
        <v>B1502</v>
      </c>
      <c r="D14" s="1513"/>
      <c r="E14" s="13">
        <f>IF($C$3="是",ROUND($A$3*G14/$B$3,2),ROUND($A$3*(G14-AT14)/$B$3,2))</f>
        <v>0</v>
      </c>
      <c r="F14" s="29"/>
      <c r="G14" s="30">
        <f>H14+AC14+AT14</f>
        <v>179.3</v>
      </c>
      <c r="H14" s="17">
        <f>SUMIF(I$12:AB$12,"总值",I14:AB14)</f>
        <v>179.3</v>
      </c>
      <c r="I14" s="1514">
        <f>面积信息!I3</f>
        <v>179.3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B1502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面积信息!E4</f>
        <v>B1503</v>
      </c>
      <c r="D15" s="1513"/>
      <c r="E15" s="13">
        <f>IF($C$3="是",ROUND($A$3*G15/$B$3,2),ROUND($A$3*(G15-AT15)/$B$3,2))</f>
        <v>0</v>
      </c>
      <c r="F15" s="29"/>
      <c r="G15" s="30">
        <f>H15+AC15+AT15</f>
        <v>194.07</v>
      </c>
      <c r="H15" s="17">
        <f>SUMIF(I$12:AB$12,"总值",I15:AB15)</f>
        <v>194.07</v>
      </c>
      <c r="I15" s="1514">
        <f>面积信息!I4</f>
        <v>194.07</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B1503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tr">
        <f>面积信息!E7</f>
        <v>B1505</v>
      </c>
      <c r="D16" s="1513" t="s">
        <v>3437</v>
      </c>
      <c r="E16" s="13">
        <f>IF($C$3="是",ROUND($A$3*G16/$B$3,2),ROUND($A$3*(G16-AT16)/$B$3,2))</f>
        <v>0</v>
      </c>
      <c r="F16" s="29"/>
      <c r="G16" s="30">
        <f>H16+AC16+AT16</f>
        <v>170.67</v>
      </c>
      <c r="H16" s="17">
        <f>SUMIF(I$12:AB$12,"总值",I16:AB16)</f>
        <v>170.67</v>
      </c>
      <c r="I16" s="1514">
        <f>面积信息!I7</f>
        <v>170.67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B1505</v>
      </c>
      <c r="AY16" s="1260">
        <f>ROUND($AY$6*AZ16/$AZ$5,2)</f>
        <v>0</v>
      </c>
      <c r="AZ16" s="13">
        <f>BA16+BL16</f>
        <v>170.67</v>
      </c>
      <c r="BA16" s="13">
        <f>SUM(BB16:BK16)</f>
        <v>170.67</v>
      </c>
      <c r="BB16" s="13">
        <f>IF($D16="是",I16-J16,0)</f>
        <v>170.67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t="str">
        <f>面积信息!E8</f>
        <v>B1506</v>
      </c>
      <c r="D17" s="1513"/>
      <c r="E17" s="13">
        <f>IF($C$3="是",ROUND($A$3*G17/$B$3,2),ROUND($A$3*(G17-AT17)/$B$3,2))</f>
        <v>0</v>
      </c>
      <c r="F17" s="29"/>
      <c r="G17" s="30">
        <f>H17+AC17+AT17</f>
        <v>158</v>
      </c>
      <c r="H17" s="17">
        <f>SUMIF(I$12:AB$12,"总值",I17:AB17)</f>
        <v>158</v>
      </c>
      <c r="I17" s="1514">
        <f>面积信息!I8</f>
        <v>158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B1506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462" t="str">
        <f>面积信息!E9</f>
        <v>B1507</v>
      </c>
      <c r="D18" s="1516"/>
      <c r="E18" s="32">
        <f t="shared" ref="E18:E112" si="7">IF($C$3="是",ROUND($A$3*G18/$B$3,2),ROUND($A$3*(G18-AT18)/$B$3,2))</f>
        <v>0</v>
      </c>
      <c r="F18" s="33"/>
      <c r="G18" s="34">
        <f t="shared" ref="G18:G109" si="8">H18+AC18+AT18</f>
        <v>198.08</v>
      </c>
      <c r="H18" s="35">
        <f t="shared" ref="H18:H109" si="9">SUMIF(I$12:AB$12,"总值",I18:AB18)</f>
        <v>198.08</v>
      </c>
      <c r="I18" s="1514">
        <f>面积信息!I9</f>
        <v>198.08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B1507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V11" sqref="V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6"/>
      <c r="G2" s="2429"/>
      <c r="H2" s="2430"/>
      <c r="I2" s="2145" t="s">
        <v>1132</v>
      </c>
      <c r="J2" s="2436"/>
      <c r="K2" s="2436"/>
      <c r="L2" s="2436"/>
      <c r="M2" s="2436"/>
      <c r="N2" s="2437"/>
      <c r="O2" s="2436"/>
      <c r="P2" s="2436"/>
    </row>
    <row r="3" spans="1:16" ht="15" thickBot="1">
      <c r="A3" s="3258" t="s">
        <v>1105</v>
      </c>
      <c r="B3" s="3258"/>
      <c r="C3" s="3258"/>
      <c r="D3" s="41">
        <f>'数据-基础表'!AY6</f>
        <v>0</v>
      </c>
      <c r="E3" s="41">
        <f>'数据-基础表'!AZ5</f>
        <v>170.67</v>
      </c>
      <c r="F3" s="2436"/>
      <c r="G3" s="42"/>
      <c r="H3" s="43" t="s">
        <v>1106</v>
      </c>
      <c r="I3" s="802" t="e">
        <f>ROUND('数据-基础表'!B3/'数据-基础表'!A3,2)</f>
        <v>#DIV/0!</v>
      </c>
      <c r="J3" s="2436"/>
      <c r="K3" s="2436"/>
      <c r="L3" s="2436"/>
      <c r="M3" s="2436"/>
      <c r="N3" s="2437"/>
      <c r="O3" s="2436"/>
      <c r="P3" s="2436"/>
    </row>
    <row r="4" spans="1:16" ht="14.4">
      <c r="A4" s="3259"/>
      <c r="B4" s="3260"/>
      <c r="C4" s="326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2" t="s">
        <v>1110</v>
      </c>
      <c r="C5" s="3262"/>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62" t="s">
        <v>1111</v>
      </c>
      <c r="C6" s="3262"/>
      <c r="D6" s="43">
        <f>ROUND($D$3*E6/$E$3,2)</f>
        <v>0</v>
      </c>
      <c r="E6" s="44">
        <f>E3-E5</f>
        <v>170.67</v>
      </c>
      <c r="F6" s="2436"/>
      <c r="G6" s="1529" t="s">
        <v>1112</v>
      </c>
      <c r="H6" s="45" t="s">
        <v>1113</v>
      </c>
      <c r="I6" s="2432" t="e">
        <f>ROUND(F31/D31,2)</f>
        <v>#DIV/0!</v>
      </c>
      <c r="J6" s="2436"/>
      <c r="K6" s="2436"/>
      <c r="L6" s="2436"/>
      <c r="M6" s="2436"/>
      <c r="N6" s="2436"/>
      <c r="O6" s="2436"/>
      <c r="P6" s="2436"/>
    </row>
    <row r="7" spans="1:16" ht="15" thickBot="1">
      <c r="A7" s="3254"/>
      <c r="B7" s="3255"/>
      <c r="C7" s="3256"/>
      <c r="D7" s="1524" t="s">
        <v>1107</v>
      </c>
      <c r="E7" s="1528" t="s">
        <v>1114</v>
      </c>
      <c r="F7" s="2436"/>
      <c r="G7" s="2433" t="s">
        <v>1115</v>
      </c>
      <c r="H7" s="95"/>
      <c r="I7" s="2434">
        <v>7.23</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170.67</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170.67</v>
      </c>
      <c r="F16" s="2436"/>
      <c r="G16" s="2436"/>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tr">
        <f>'数据-基础表'!C16</f>
        <v>B1505</v>
      </c>
      <c r="D19" s="43">
        <f>ROUND($D$3*E19/$E$3,2)</f>
        <v>0</v>
      </c>
      <c r="E19" s="51">
        <f t="shared" ref="E19:E26" si="1">SUM(F19:G19)</f>
        <v>170.67</v>
      </c>
      <c r="F19" s="2554">
        <f>'数据-基础表'!G16</f>
        <v>170.67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170.67</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170.67</v>
      </c>
      <c r="F27" s="1072">
        <f>IF(SUM(F19:F26)=E8,SUM(F19:F26),"地上面积有误")</f>
        <v>170.67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170.67</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170.67</v>
      </c>
      <c r="F31" s="644">
        <f>F27+F30</f>
        <v>170.67</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30" activePane="bottomRight" state="frozen"/>
      <selection activeCell="C50" sqref="C50"/>
      <selection pane="topRight" activeCell="C50" sqref="C50"/>
      <selection pane="bottomLeft" activeCell="C50" sqref="C50"/>
      <selection pane="bottomRight" activeCell="K31" sqref="K3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B1505</v>
      </c>
      <c r="B6" s="1587" t="str">
        <f>IF(A6=0,"","经营性")</f>
        <v>经营性</v>
      </c>
      <c r="C6" s="1588" t="s">
        <v>21</v>
      </c>
      <c r="D6" s="805">
        <f>SUMIF(项目基本情况!C$12:I$12,C6,项目基本情况!C$14:I$14)</f>
        <v>50</v>
      </c>
      <c r="E6" s="804">
        <f>IF(B6="","",SUMIF(项目基本情况!C$12:I$12,C6,项目基本情况!C$13:I$13))</f>
        <v>53670</v>
      </c>
      <c r="F6" s="61">
        <f>SUMIF(项目基本情况!C$12:I$12,C6,项目基本情况!C$15:I$15)</f>
        <v>21.63</v>
      </c>
      <c r="G6" s="62">
        <f>IF(ISERROR(ROUND(POWER(1+H6,D6-F6)*(POWER(1+H6,F6)-1)/(POWER(1+H6,D6)-1),3)),0,ROUND(POWER(1+H6,D6-F6)*(POWER(1+H6,F6)-1)/(POWER(1+H6,D6)-1),3))</f>
        <v>0.71399999999999997</v>
      </c>
      <c r="H6" s="691">
        <v>0.05</v>
      </c>
      <c r="I6" s="691">
        <v>5.5E-2</v>
      </c>
      <c r="J6" s="63">
        <v>7.0000000000000007E-2</v>
      </c>
      <c r="K6" s="970">
        <f>SUMIF('数据-汇总表'!C$19:C$33,A6,'数据-汇总表'!E$19:E$33)</f>
        <v>170.67</v>
      </c>
      <c r="L6" s="692">
        <v>4500</v>
      </c>
      <c r="M6" s="64">
        <f t="shared" ref="M6:M14" si="0">ROUND(K6*L6/10000,0)</f>
        <v>77</v>
      </c>
      <c r="N6" s="690">
        <f>N21</f>
        <v>0.69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3">
        <v>3.6</v>
      </c>
      <c r="V6" s="67">
        <v>0.02</v>
      </c>
      <c r="W6" s="67">
        <v>0.1</v>
      </c>
      <c r="X6" s="979"/>
      <c r="Y6" s="68">
        <f>N6</f>
        <v>0.69</v>
      </c>
      <c r="Z6" s="69"/>
      <c r="AA6" s="63"/>
      <c r="AB6" s="63"/>
      <c r="AC6" s="979"/>
      <c r="AD6" s="70"/>
      <c r="AE6" s="980" t="e">
        <f ca="1">IF(AN6="",0,SUMIF(INDIRECT("'"&amp;AN6&amp;"'"&amp;"!E:E"),$AE$5,INDIRECT("'"&amp;AN6&amp;"'"&amp;"!F:F")))</f>
        <v>#N/A</v>
      </c>
      <c r="AF6" s="74"/>
      <c r="AG6" s="130">
        <f>IF(AF6="",0,AE6-AF6)</f>
        <v>0</v>
      </c>
      <c r="AH6" s="71"/>
      <c r="AI6" s="73">
        <v>365</v>
      </c>
      <c r="AJ6" s="74"/>
      <c r="AK6" s="75">
        <v>0.01</v>
      </c>
      <c r="AL6" s="76">
        <v>1E-3</v>
      </c>
      <c r="AM6" s="77">
        <v>0.01</v>
      </c>
      <c r="AN6" s="1589" t="s">
        <v>3452</v>
      </c>
      <c r="AO6" s="50" t="e">
        <f ca="1">SUMIF(INDIRECT("'"&amp;AN6&amp;"'"&amp;"!A:A"),"总价",INDIRECT("'"&amp;AN6&amp;"'"&amp;"!B:B"))</f>
        <v>#N/A</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0.71399999999999997</v>
      </c>
      <c r="H16" s="84">
        <f>ROUND(SUMPRODUCT(H6:H13,K6:K13)/SUMPRODUCT((H6:H13&gt;0)*(K6:K13)),3)</f>
        <v>0.05</v>
      </c>
      <c r="I16" s="85"/>
      <c r="J16" s="85"/>
      <c r="K16" s="86">
        <f>SUM(K6:K15)</f>
        <v>170.67</v>
      </c>
      <c r="L16" s="87">
        <f>ROUND(M16*10000/SUM(K6:K14),0)</f>
        <v>4512</v>
      </c>
      <c r="M16" s="87">
        <f>SUM(M6:M14)</f>
        <v>77</v>
      </c>
      <c r="N16" s="88">
        <f>ROUND(SUMPRODUCT(M6:M14,N6:N14)/M16,3)</f>
        <v>0.69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3" t="s">
        <v>3444</v>
      </c>
      <c r="N18" s="2445">
        <f>面积信息!J2</f>
        <v>2000</v>
      </c>
      <c r="O18" s="3163" t="s">
        <v>3445</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2297</v>
      </c>
      <c r="D19" s="2448"/>
      <c r="E19" s="2436"/>
      <c r="F19" s="2436"/>
      <c r="G19" s="2436"/>
      <c r="H19" s="2436"/>
      <c r="I19" s="2436"/>
      <c r="J19" s="2436"/>
      <c r="K19" s="2446"/>
      <c r="L19" s="2446"/>
      <c r="M19" s="3163" t="s">
        <v>3447</v>
      </c>
      <c r="N19" s="2445">
        <f>ROUND(1-(1-0)*(2025-N18)/60,2)</f>
        <v>0.57999999999999996</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8" t="s">
        <v>2295</v>
      </c>
      <c r="D20" s="2448"/>
      <c r="E20" s="2436"/>
      <c r="F20" s="2436"/>
      <c r="G20" s="2436"/>
      <c r="H20" s="2436"/>
      <c r="I20" s="2436"/>
      <c r="J20" s="2436"/>
      <c r="K20" s="2446"/>
      <c r="L20" s="2446"/>
      <c r="M20" s="3163" t="s">
        <v>3448</v>
      </c>
      <c r="N20" s="2445">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2</v>
      </c>
      <c r="C21" s="2436"/>
      <c r="D21" s="2448"/>
      <c r="E21" s="2436"/>
      <c r="F21" s="2436"/>
      <c r="G21" s="2436"/>
      <c r="H21" s="2436"/>
      <c r="I21" s="2436"/>
      <c r="J21" s="2436"/>
      <c r="K21" s="2446"/>
      <c r="L21" s="2446"/>
      <c r="M21" s="3163" t="s">
        <v>3450</v>
      </c>
      <c r="N21" s="2445">
        <f>ROUND((N19+N20)/2,2)</f>
        <v>0.69</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9" t="s">
        <v>2299</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2289</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0.06</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2290</v>
      </c>
      <c r="D34" s="2456" t="s">
        <v>2296</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2291</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3396</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3379</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0.02</v>
      </c>
      <c r="C38" s="2561" t="s">
        <v>3380</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2305</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7.0000000000000007E-2</v>
      </c>
      <c r="C44" s="2561" t="s">
        <v>3381</v>
      </c>
      <c r="D44" s="3165" t="s">
        <v>3451</v>
      </c>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2292</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2293</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2300</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2292</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2294</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12</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110</v>
      </c>
      <c r="C53" s="2437" t="s">
        <v>1246</v>
      </c>
      <c r="D53" s="2562" t="s">
        <v>2298</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f>C57</f>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3" t="s">
        <v>2281</v>
      </c>
      <c r="B1" s="3264"/>
      <c r="C1" s="3264"/>
      <c r="D1" s="3264"/>
      <c r="E1" s="3264"/>
      <c r="F1" s="3264"/>
      <c r="G1" s="326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2276</v>
      </c>
      <c r="D2" s="1595"/>
      <c r="E2" s="2258"/>
      <c r="F2" s="2261"/>
      <c r="G2" s="2260" t="s">
        <v>2277</v>
      </c>
      <c r="H2" s="751"/>
      <c r="I2" s="751"/>
      <c r="J2" s="751"/>
      <c r="K2" s="751"/>
      <c r="L2" s="751"/>
      <c r="M2" s="751"/>
      <c r="N2" s="751"/>
      <c r="O2" s="751"/>
      <c r="P2" s="751"/>
      <c r="Q2" s="751"/>
    </row>
    <row r="3" spans="1:29" ht="48">
      <c r="A3" s="2245" t="s">
        <v>2278</v>
      </c>
      <c r="B3" s="2262" t="s">
        <v>2247</v>
      </c>
      <c r="C3" s="2263" t="s">
        <v>2279</v>
      </c>
      <c r="D3" s="2264"/>
      <c r="E3" s="2246" t="s">
        <v>2278</v>
      </c>
      <c r="F3" s="2265" t="s">
        <v>2248</v>
      </c>
      <c r="G3" s="2266" t="s">
        <v>2280</v>
      </c>
      <c r="H3" s="751"/>
      <c r="I3" s="751"/>
      <c r="J3" s="751"/>
      <c r="K3" s="751"/>
      <c r="L3" s="751"/>
      <c r="M3" s="751"/>
      <c r="N3" s="751"/>
      <c r="O3" s="751"/>
      <c r="P3" s="751"/>
      <c r="Q3" s="751"/>
    </row>
    <row r="4" spans="1:29" ht="37.200000000000003">
      <c r="A4" s="2246"/>
      <c r="B4" s="315" t="s">
        <v>2249</v>
      </c>
      <c r="C4" s="2267" t="s">
        <v>2250</v>
      </c>
      <c r="D4" s="2264"/>
      <c r="E4" s="2268"/>
      <c r="F4" s="1281" t="s">
        <v>2251</v>
      </c>
      <c r="G4" s="2269" t="s">
        <v>2252</v>
      </c>
      <c r="H4" s="751"/>
      <c r="I4" s="751"/>
      <c r="J4" s="751"/>
      <c r="K4" s="751"/>
      <c r="L4" s="751"/>
      <c r="M4" s="751"/>
      <c r="N4" s="751"/>
      <c r="O4" s="751"/>
      <c r="P4" s="751"/>
      <c r="Q4" s="751"/>
    </row>
    <row r="5" spans="1:29" ht="37.200000000000003">
      <c r="A5" s="2246"/>
      <c r="B5" s="315" t="s">
        <v>2253</v>
      </c>
      <c r="C5" s="2267" t="s">
        <v>2254</v>
      </c>
      <c r="D5" s="2264"/>
      <c r="E5" s="2268"/>
      <c r="F5" s="315" t="s">
        <v>2255</v>
      </c>
      <c r="G5" s="2269" t="s">
        <v>2256</v>
      </c>
      <c r="H5" s="751"/>
      <c r="I5" s="751"/>
      <c r="J5" s="751"/>
      <c r="K5" s="751"/>
      <c r="L5" s="751"/>
      <c r="M5" s="751"/>
      <c r="N5" s="751"/>
      <c r="O5" s="751"/>
      <c r="P5" s="751"/>
      <c r="Q5" s="751"/>
    </row>
    <row r="6" spans="1:29" ht="48">
      <c r="A6" s="2246"/>
      <c r="B6" s="315" t="s">
        <v>2257</v>
      </c>
      <c r="C6" s="2269" t="s">
        <v>2252</v>
      </c>
      <c r="D6" s="2264"/>
      <c r="E6" s="2268"/>
      <c r="F6" s="315" t="s">
        <v>2258</v>
      </c>
      <c r="G6" s="2269" t="s">
        <v>2259</v>
      </c>
      <c r="H6" s="751"/>
      <c r="I6" s="751"/>
      <c r="J6" s="751"/>
      <c r="K6" s="751"/>
      <c r="L6" s="751"/>
      <c r="M6" s="751"/>
      <c r="N6" s="751"/>
      <c r="O6" s="751"/>
      <c r="P6" s="751"/>
      <c r="Q6" s="751"/>
    </row>
    <row r="7" spans="1:29" ht="36.6" thickBot="1">
      <c r="A7" s="2246"/>
      <c r="B7" s="315" t="s">
        <v>2255</v>
      </c>
      <c r="C7" s="2269" t="s">
        <v>2256</v>
      </c>
      <c r="D7" s="2243"/>
      <c r="E7" s="2270"/>
      <c r="F7" s="2271" t="s">
        <v>2260</v>
      </c>
      <c r="G7" s="2272" t="s">
        <v>2261</v>
      </c>
      <c r="H7" s="751"/>
      <c r="I7" s="751"/>
      <c r="J7" s="751"/>
      <c r="K7" s="751"/>
      <c r="L7" s="751"/>
      <c r="M7" s="751"/>
      <c r="N7" s="751"/>
      <c r="O7" s="751"/>
      <c r="P7" s="751"/>
      <c r="Q7" s="751"/>
    </row>
    <row r="8" spans="1:29" ht="24">
      <c r="A8" s="2246"/>
      <c r="B8" s="315" t="s">
        <v>2258</v>
      </c>
      <c r="C8" s="2269" t="s">
        <v>2259</v>
      </c>
      <c r="D8" s="2243"/>
      <c r="E8" s="2243"/>
      <c r="F8" s="121"/>
      <c r="G8" s="121"/>
      <c r="H8" s="751"/>
      <c r="I8" s="751"/>
      <c r="J8" s="751"/>
      <c r="K8" s="751"/>
      <c r="L8" s="751"/>
      <c r="M8" s="751"/>
      <c r="N8" s="751"/>
      <c r="O8" s="751"/>
      <c r="P8" s="751"/>
      <c r="Q8" s="751"/>
    </row>
    <row r="9" spans="1:29" ht="24">
      <c r="A9" s="2246"/>
      <c r="B9" s="315" t="s">
        <v>2262</v>
      </c>
      <c r="C9" s="2267" t="s">
        <v>2263</v>
      </c>
      <c r="D9" s="2264"/>
      <c r="E9" s="2243"/>
      <c r="F9" s="121"/>
      <c r="G9" s="121"/>
      <c r="H9" s="751"/>
      <c r="I9" s="751"/>
      <c r="J9" s="751"/>
      <c r="K9" s="751"/>
      <c r="L9" s="751"/>
      <c r="M9" s="751"/>
      <c r="N9" s="751"/>
      <c r="O9" s="751"/>
      <c r="P9" s="751"/>
      <c r="Q9" s="751"/>
    </row>
    <row r="10" spans="1:29" ht="14.4" thickBot="1">
      <c r="A10" s="2247"/>
      <c r="B10" s="2273" t="s">
        <v>2264</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2282</v>
      </c>
      <c r="B13" s="2278"/>
      <c r="C13" s="2278"/>
      <c r="D13" s="2277"/>
      <c r="E13" s="2278"/>
      <c r="F13" s="2278"/>
      <c r="G13" s="2278"/>
    </row>
    <row r="14" spans="1:29" ht="14.4" thickBot="1">
      <c r="A14" s="2283"/>
      <c r="B14" s="2283"/>
      <c r="C14" s="2284" t="s">
        <v>2265</v>
      </c>
      <c r="D14" s="2264"/>
      <c r="E14" s="2285"/>
      <c r="F14" s="2285"/>
      <c r="G14" s="2260" t="s">
        <v>2266</v>
      </c>
    </row>
    <row r="15" spans="1:29" ht="52.8">
      <c r="A15" s="2248" t="s">
        <v>2267</v>
      </c>
      <c r="B15" s="2286" t="s">
        <v>2247</v>
      </c>
      <c r="C15" s="2287" t="str">
        <f>C3</f>
        <v>估价对象周边居住用地比例、居住小区规模和社区发展完善程度，综合评价居住社区成熟度一般</v>
      </c>
      <c r="D15" s="2264"/>
      <c r="E15" s="2249" t="s">
        <v>2268</v>
      </c>
      <c r="F15" s="2286" t="s">
        <v>2269</v>
      </c>
      <c r="G15" s="2288" t="str">
        <f>G3</f>
        <v>估价对象位于XX开发区，园区建设成熟度XX，产业集聚程度XX</v>
      </c>
    </row>
    <row r="16" spans="1:29" ht="39.6">
      <c r="A16" s="2250"/>
      <c r="B16" s="2289" t="s">
        <v>2249</v>
      </c>
      <c r="C16" s="2290" t="str">
        <f>C4</f>
        <v>估价对象位于XX商圈，周边商业氛围成熟，人流量大，商业繁华度好</v>
      </c>
      <c r="D16" s="2264"/>
      <c r="E16" s="2251"/>
      <c r="F16" s="2291" t="s">
        <v>2251</v>
      </c>
      <c r="G16" s="2292" t="str">
        <f>G4</f>
        <v>估价对象周边道路状况、公共交通通达情况、停车便捷程度，综合评价交通便捷度较好</v>
      </c>
    </row>
    <row r="17" spans="1:17" ht="39.6">
      <c r="A17" s="2250"/>
      <c r="B17" s="2289" t="s">
        <v>2253</v>
      </c>
      <c r="C17" s="2290" t="str">
        <f>C5</f>
        <v>估价对象位于XX商圈，周边办公楼项目较多，入驻率高，办公集聚程度较好</v>
      </c>
      <c r="D17" s="2243"/>
      <c r="E17" s="2251"/>
      <c r="F17" s="2291" t="s">
        <v>2270</v>
      </c>
      <c r="G17" s="2293"/>
    </row>
    <row r="18" spans="1:17" ht="52.8">
      <c r="A18" s="2250"/>
      <c r="B18" s="2291" t="s">
        <v>2257</v>
      </c>
      <c r="C18" s="2292" t="str">
        <f>C6</f>
        <v>估价对象周边道路状况、公共交通通达情况、停车便捷程度，综合评价交通便捷度较好</v>
      </c>
      <c r="D18" s="2243"/>
      <c r="E18" s="2251"/>
      <c r="F18" s="2291" t="s">
        <v>2260</v>
      </c>
      <c r="G18" s="2292" t="str">
        <f>G7</f>
        <v>该园区内是否有污染型企业，绿化情况，卫生条件，整体环境状况判断</v>
      </c>
    </row>
    <row r="19" spans="1:17" ht="26.4">
      <c r="A19" s="2250"/>
      <c r="B19" s="2291" t="s">
        <v>2271</v>
      </c>
      <c r="C19" s="2293"/>
      <c r="D19" s="2264"/>
      <c r="E19" s="2251"/>
      <c r="F19" s="315" t="s">
        <v>2255</v>
      </c>
      <c r="G19" s="2292" t="str">
        <f>G5</f>
        <v>估价对象所在区域公共配套设施齐备情况</v>
      </c>
    </row>
    <row r="20" spans="1:17" ht="26.4">
      <c r="A20" s="2250"/>
      <c r="B20" s="2291" t="s">
        <v>2272</v>
      </c>
      <c r="C20" s="2290" t="str">
        <f>C9</f>
        <v>区域自然环境：；人文环境；综合评价环境状况一般</v>
      </c>
      <c r="D20" s="2243"/>
      <c r="E20" s="2251"/>
      <c r="F20" s="315" t="s">
        <v>2258</v>
      </c>
      <c r="G20" s="2292" t="str">
        <f>G6</f>
        <v>估价对象所在区域基础设施水平</v>
      </c>
    </row>
    <row r="21" spans="1:17" ht="26.4">
      <c r="A21" s="2250"/>
      <c r="B21" s="315" t="s">
        <v>2255</v>
      </c>
      <c r="C21" s="2292" t="str">
        <f>C7</f>
        <v>估价对象所在区域公共配套设施齐备情况</v>
      </c>
      <c r="D21" s="2264"/>
      <c r="E21" s="2251"/>
      <c r="F21" s="2291" t="s">
        <v>2273</v>
      </c>
      <c r="G21" s="2294"/>
    </row>
    <row r="22" spans="1:17" ht="13.5" customHeight="1">
      <c r="A22" s="2250"/>
      <c r="B22" s="315" t="s">
        <v>2258</v>
      </c>
      <c r="C22" s="2292" t="str">
        <f>C8</f>
        <v>估价对象所在区域基础设施水平</v>
      </c>
      <c r="D22" s="2264"/>
      <c r="E22" s="2251"/>
      <c r="F22" s="2291" t="s">
        <v>2264</v>
      </c>
      <c r="G22" s="2293"/>
    </row>
    <row r="23" spans="1:17" s="751" customFormat="1" ht="14.4" thickBot="1">
      <c r="A23" s="2250"/>
      <c r="B23" s="2291" t="s">
        <v>2273</v>
      </c>
      <c r="C23" s="2294"/>
      <c r="D23" s="1614"/>
      <c r="E23" s="2252"/>
      <c r="F23" s="2295" t="s">
        <v>2274</v>
      </c>
      <c r="G23" s="2296"/>
      <c r="H23" s="2275"/>
      <c r="I23" s="2275"/>
      <c r="J23" s="2275"/>
      <c r="K23" s="2275"/>
      <c r="L23" s="2275"/>
      <c r="M23" s="2275"/>
      <c r="N23" s="2275"/>
      <c r="O23" s="2275"/>
      <c r="P23" s="2275"/>
      <c r="Q23" s="2275"/>
    </row>
    <row r="24" spans="1:17" s="751" customFormat="1" ht="14.4" thickBot="1">
      <c r="A24" s="2253"/>
      <c r="B24" s="2295" t="s">
        <v>2275</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3" sqref="E1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526.75</v>
      </c>
      <c r="C1" s="2458"/>
      <c r="D1" s="2458"/>
      <c r="E1" s="2458"/>
      <c r="F1" s="2458"/>
      <c r="G1" s="2459"/>
      <c r="H1" s="2459"/>
      <c r="I1" s="2459"/>
      <c r="J1" s="2459"/>
      <c r="K1" s="2459"/>
    </row>
    <row r="2" spans="1:11" ht="16.2">
      <c r="A2" s="2298" t="s">
        <v>653</v>
      </c>
      <c r="B2" s="2298">
        <f>SUM(C14:C23)</f>
        <v>0</v>
      </c>
      <c r="C2" s="2458"/>
      <c r="D2" s="2458"/>
      <c r="E2" s="2458"/>
      <c r="F2" s="2458"/>
      <c r="G2" s="2459"/>
      <c r="H2" s="2459"/>
      <c r="I2" s="2459"/>
      <c r="J2" s="2459"/>
      <c r="K2" s="2459"/>
    </row>
    <row r="3" spans="1:11" ht="15.6">
      <c r="A3" s="2298" t="s">
        <v>662</v>
      </c>
      <c r="B3" s="2300">
        <f>项目基本情况!D3</f>
        <v>45775</v>
      </c>
      <c r="C3" s="2458"/>
      <c r="D3" s="2458"/>
      <c r="E3" s="2458"/>
      <c r="F3" s="2458"/>
      <c r="G3" s="2459"/>
      <c r="H3" s="2459"/>
      <c r="I3" s="2459"/>
      <c r="J3" s="2459"/>
      <c r="K3" s="2459"/>
    </row>
    <row r="4" spans="1:11" ht="31.2">
      <c r="A4" s="2298" t="s">
        <v>661</v>
      </c>
      <c r="B4" s="2298" t="s">
        <v>660</v>
      </c>
      <c r="C4" s="2298" t="s">
        <v>659</v>
      </c>
      <c r="D4" s="2298" t="s">
        <v>658</v>
      </c>
      <c r="E4" s="2458"/>
      <c r="F4" s="2459"/>
      <c r="G4" s="2459"/>
      <c r="H4" s="2459"/>
      <c r="I4" s="2459"/>
      <c r="J4" s="2459"/>
      <c r="K4" s="2459"/>
    </row>
    <row r="5" spans="1:11" ht="15.6">
      <c r="A5" s="2298" t="s">
        <v>657</v>
      </c>
      <c r="B5" s="2298">
        <f ca="1">SUM(D14:D23)</f>
        <v>1265.2535</v>
      </c>
      <c r="C5" s="2298">
        <f ca="1">IF(B5=D14,结果表!H102,ROUND(B5*10000/$B$1,0))</f>
        <v>24020</v>
      </c>
      <c r="D5" s="2298" t="e">
        <f ca="1">ROUND(B5*10000/$B$2,0)</f>
        <v>#DIV/0!</v>
      </c>
      <c r="E5" s="3513" t="str">
        <f ca="1">NUMBERSTRING(INT(B5*10000),2)&amp;"元整"</f>
        <v>壹仟贰佰陆拾伍万贰仟伍佰叁拾伍元整</v>
      </c>
      <c r="F5" s="3514"/>
      <c r="G5" s="2459"/>
      <c r="H5" s="2459"/>
      <c r="I5" s="2459"/>
      <c r="J5" s="2459"/>
      <c r="K5" s="2459"/>
    </row>
    <row r="6" spans="1:11" ht="15.6">
      <c r="A6" s="2298" t="s">
        <v>656</v>
      </c>
      <c r="B6" s="2298">
        <f ca="1">SUM(G14:G23)</f>
        <v>1265.2535</v>
      </c>
      <c r="C6" s="2298">
        <f ca="1">IF(B6=G14,结果表!H108,ROUND(B6*10000/$B$1,0))</f>
        <v>24020</v>
      </c>
      <c r="D6" s="2298" t="e">
        <f ca="1">ROUND(B6*10000/$B$2,0)</f>
        <v>#DIV/0!</v>
      </c>
      <c r="E6" s="2458"/>
      <c r="F6" s="2459"/>
      <c r="G6" s="2459"/>
      <c r="H6" s="2459"/>
      <c r="I6" s="2459"/>
      <c r="J6" s="2459"/>
      <c r="K6" s="2459"/>
    </row>
    <row r="7" spans="1:11" ht="15.6">
      <c r="A7" s="2298" t="s">
        <v>664</v>
      </c>
      <c r="B7" s="2298">
        <f>SUM(H14:H23)</f>
        <v>0</v>
      </c>
      <c r="C7" s="2298" t="str">
        <f>IF(B7=H14,结果表!H110,ROUND(B7*10000/$B$1,0))</f>
        <v>——</v>
      </c>
      <c r="D7" s="2298" t="e">
        <f>ROUND(B7*10000/$B$2,0)</f>
        <v>#DIV/0!</v>
      </c>
      <c r="E7" s="2458"/>
      <c r="F7" s="2459"/>
      <c r="G7" s="2459"/>
      <c r="H7" s="2459"/>
      <c r="I7" s="2459"/>
      <c r="J7" s="2459"/>
      <c r="K7" s="2459"/>
    </row>
    <row r="8" spans="1:11" ht="15.6">
      <c r="A8" s="2298" t="s">
        <v>587</v>
      </c>
      <c r="B8" s="2298">
        <f ca="1">SUM(I14:I23)</f>
        <v>1246.5889</v>
      </c>
      <c r="C8" s="2298">
        <f ca="1">IF(B8=I14,结果表!H112,ROUND(B8*10000/$B$1,0))</f>
        <v>23666</v>
      </c>
      <c r="D8" s="2298" t="e">
        <f ca="1">ROUND(B8*10000/$B$2,0)</f>
        <v>#DIV/0!</v>
      </c>
      <c r="E8" s="3513" t="str">
        <f ca="1">NUMBERSTRING(INT(B8*10000),2)&amp;"元整"</f>
        <v>壹仟贰佰肆拾陆万伍仟捌佰捌拾玖元整</v>
      </c>
      <c r="F8" s="3514"/>
      <c r="G8" s="2459"/>
      <c r="H8" s="2459"/>
      <c r="I8" s="2459"/>
      <c r="J8" s="2459"/>
      <c r="K8" s="2459"/>
    </row>
    <row r="9" spans="1:11" ht="15.6">
      <c r="A9" s="2298" t="s">
        <v>655</v>
      </c>
      <c r="B9" s="1244"/>
      <c r="C9" s="2458"/>
      <c r="D9" s="2458"/>
      <c r="E9" s="2458"/>
      <c r="F9" s="2459"/>
      <c r="G9" s="2459"/>
      <c r="H9" s="2459"/>
      <c r="I9" s="2459"/>
      <c r="J9" s="2459"/>
      <c r="K9" s="2459"/>
    </row>
    <row r="10" spans="1:11" ht="15.6">
      <c r="A10" s="2298" t="s">
        <v>654</v>
      </c>
      <c r="B10" s="2298">
        <f>IF(E10="",0,ROUND(B1*(E10*365/G10)/10000,0))</f>
        <v>0</v>
      </c>
      <c r="C10" s="2298" t="s">
        <v>3351</v>
      </c>
      <c r="D10" s="2298" t="s">
        <v>3352</v>
      </c>
      <c r="E10" s="3133"/>
      <c r="F10" s="3137" t="s">
        <v>3353</v>
      </c>
      <c r="G10" s="3134"/>
      <c r="H10" s="2459"/>
      <c r="I10" s="2459"/>
      <c r="J10" s="2459"/>
      <c r="K10" s="2459"/>
    </row>
    <row r="11" spans="1:11" ht="15.6">
      <c r="A11" s="2298"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1" t="s">
        <v>669</v>
      </c>
      <c r="B13" s="2302" t="s">
        <v>666</v>
      </c>
      <c r="C13" s="2302" t="s">
        <v>668</v>
      </c>
      <c r="D13" s="2302" t="s">
        <v>667</v>
      </c>
      <c r="E13" s="2298" t="s">
        <v>659</v>
      </c>
      <c r="F13" s="2298" t="s">
        <v>658</v>
      </c>
      <c r="G13" s="2302" t="s">
        <v>652</v>
      </c>
      <c r="H13" s="2302" t="s">
        <v>663</v>
      </c>
      <c r="I13" s="2302" t="s">
        <v>651</v>
      </c>
      <c r="J13" s="2459"/>
      <c r="K13" s="2459"/>
    </row>
    <row r="14" spans="1:11" ht="15.6">
      <c r="A14" s="2303" t="s">
        <v>650</v>
      </c>
      <c r="B14" s="2304">
        <f>'典型户型修正 '!B22</f>
        <v>526.75</v>
      </c>
      <c r="C14" s="2304"/>
      <c r="D14" s="2304">
        <f ca="1">'典型户型修正 '!S22</f>
        <v>1265.2535</v>
      </c>
      <c r="E14" s="2304">
        <f ca="1">'典型户型修正 '!R22</f>
        <v>24020</v>
      </c>
      <c r="F14" s="2304" t="e">
        <f ca="1">ROUND(D14*10000/C14,0)</f>
        <v>#DIV/0!</v>
      </c>
      <c r="G14" s="2304">
        <f ca="1">D14</f>
        <v>1265.2535</v>
      </c>
      <c r="H14" s="2304"/>
      <c r="I14" s="2304">
        <f ca="1">结果表!N59</f>
        <v>1246.5889</v>
      </c>
      <c r="J14" s="2459"/>
      <c r="K14" s="2459"/>
    </row>
    <row r="15" spans="1:11" ht="15.6">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5.6">
      <c r="A16" s="2303" t="s">
        <v>648</v>
      </c>
      <c r="B16" s="2305"/>
      <c r="C16" s="2305"/>
      <c r="D16" s="2305"/>
      <c r="E16" s="2304" t="e">
        <f t="shared" si="0"/>
        <v>#DIV/0!</v>
      </c>
      <c r="F16" s="2304" t="e">
        <f t="shared" si="1"/>
        <v>#DIV/0!</v>
      </c>
      <c r="G16" s="1244"/>
      <c r="H16" s="1244"/>
      <c r="I16" s="2305"/>
      <c r="J16" s="2459"/>
      <c r="K16" s="2459"/>
    </row>
    <row r="17" spans="1:11" ht="15.6">
      <c r="A17" s="2303" t="s">
        <v>647</v>
      </c>
      <c r="B17" s="2305"/>
      <c r="C17" s="2305"/>
      <c r="D17" s="2305"/>
      <c r="E17" s="2304" t="e">
        <f t="shared" si="0"/>
        <v>#DIV/0!</v>
      </c>
      <c r="F17" s="2304" t="e">
        <f t="shared" si="1"/>
        <v>#DIV/0!</v>
      </c>
      <c r="G17" s="1244"/>
      <c r="H17" s="1244"/>
      <c r="I17" s="2305"/>
      <c r="J17" s="2459"/>
      <c r="K17" s="2459"/>
    </row>
    <row r="18" spans="1:11" ht="15.6">
      <c r="A18" s="2303" t="s">
        <v>646</v>
      </c>
      <c r="B18" s="2305"/>
      <c r="C18" s="2305"/>
      <c r="D18" s="2305"/>
      <c r="E18" s="2304" t="e">
        <f t="shared" si="0"/>
        <v>#DIV/0!</v>
      </c>
      <c r="F18" s="2304" t="e">
        <f t="shared" si="1"/>
        <v>#DIV/0!</v>
      </c>
      <c r="G18" s="2305"/>
      <c r="H18" s="2305"/>
      <c r="I18" s="2305"/>
      <c r="J18" s="2459"/>
      <c r="K18" s="2459"/>
    </row>
    <row r="19" spans="1:11" ht="15.6">
      <c r="A19" s="2303" t="s">
        <v>645</v>
      </c>
      <c r="B19" s="2305"/>
      <c r="C19" s="2305"/>
      <c r="D19" s="2305"/>
      <c r="E19" s="2304" t="e">
        <f t="shared" si="0"/>
        <v>#DIV/0!</v>
      </c>
      <c r="F19" s="2304" t="e">
        <f t="shared" si="1"/>
        <v>#DIV/0!</v>
      </c>
      <c r="G19" s="2305"/>
      <c r="H19" s="2305"/>
      <c r="I19" s="2305"/>
      <c r="J19" s="2459"/>
      <c r="K19" s="2459"/>
    </row>
    <row r="20" spans="1:11" ht="15.6">
      <c r="A20" s="2303" t="s">
        <v>644</v>
      </c>
      <c r="B20" s="2305"/>
      <c r="C20" s="2305"/>
      <c r="D20" s="2305"/>
      <c r="E20" s="2304" t="e">
        <f t="shared" si="0"/>
        <v>#DIV/0!</v>
      </c>
      <c r="F20" s="2304" t="e">
        <f t="shared" si="1"/>
        <v>#DIV/0!</v>
      </c>
      <c r="G20" s="2305"/>
      <c r="H20" s="2305"/>
      <c r="I20" s="2305"/>
      <c r="J20" s="2459"/>
      <c r="K20" s="2459"/>
    </row>
    <row r="21" spans="1:11" ht="15.6">
      <c r="A21" s="2303" t="s">
        <v>643</v>
      </c>
      <c r="B21" s="2305"/>
      <c r="C21" s="2305"/>
      <c r="D21" s="2305"/>
      <c r="E21" s="2304" t="e">
        <f t="shared" si="0"/>
        <v>#DIV/0!</v>
      </c>
      <c r="F21" s="2304" t="e">
        <f t="shared" si="1"/>
        <v>#DIV/0!</v>
      </c>
      <c r="G21" s="2305"/>
      <c r="H21" s="2305"/>
      <c r="I21" s="2305"/>
      <c r="J21" s="2459"/>
      <c r="K21" s="2459"/>
    </row>
    <row r="22" spans="1:11" ht="15.6">
      <c r="A22" s="2303" t="s">
        <v>642</v>
      </c>
      <c r="B22" s="2305"/>
      <c r="C22" s="2305"/>
      <c r="D22" s="2305"/>
      <c r="E22" s="2304" t="e">
        <f t="shared" si="0"/>
        <v>#DIV/0!</v>
      </c>
      <c r="F22" s="2304" t="e">
        <f t="shared" si="1"/>
        <v>#DIV/0!</v>
      </c>
      <c r="G22" s="2305"/>
      <c r="H22" s="2305"/>
      <c r="I22" s="2305"/>
      <c r="J22" s="2459"/>
      <c r="K22" s="2459"/>
    </row>
    <row r="23" spans="1:11" ht="15.6">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mergeCells count="2">
    <mergeCell ref="E5:F5"/>
    <mergeCell ref="E8:F8"/>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4805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170.67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170.67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170.67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265" t="s">
        <v>1544</v>
      </c>
    </row>
    <row r="43" spans="1:7" ht="13.5" customHeight="1">
      <c r="A43" s="734" t="s">
        <v>347</v>
      </c>
      <c r="B43" s="207" t="s">
        <v>1545</v>
      </c>
      <c r="C43" s="230">
        <f ca="1">ROUND(IF('数据-取费表'!B22&lt;=1,C39*F22*'数据-取费表'!B21/2,C39*(POWER((1+F22),'数据-取费表'!B21/2)-1)),0)</f>
        <v>0</v>
      </c>
      <c r="D43" s="230"/>
      <c r="E43" s="230"/>
      <c r="F43" s="231"/>
      <c r="G43" s="3266"/>
    </row>
    <row r="44" spans="1:7" ht="13.5" customHeight="1">
      <c r="A44" s="734" t="s">
        <v>348</v>
      </c>
      <c r="B44" s="207" t="s">
        <v>1546</v>
      </c>
      <c r="C44" s="230">
        <f ca="1">ROUND(IF('数据-取费表'!B22&lt;=1,C40*F22*'数据-取费表'!B21/2,C40*(POWER((1+F22),'数据-取费表'!B21/2)-1)),4)</f>
        <v>5.9999999999999995E-4</v>
      </c>
      <c r="D44" s="230"/>
      <c r="E44" s="230"/>
      <c r="F44" s="231"/>
      <c r="G44" s="3267"/>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114</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79</v>
      </c>
      <c r="D51" s="224"/>
      <c r="E51" s="224"/>
      <c r="F51" s="256"/>
      <c r="G51" s="226" t="s">
        <v>1560</v>
      </c>
    </row>
    <row r="52" spans="1:7" s="200" customFormat="1" ht="16.8" thickBot="1">
      <c r="A52" s="257" t="s">
        <v>1561</v>
      </c>
      <c r="B52" s="258"/>
      <c r="C52" s="259">
        <f ca="1">C31+C51</f>
        <v>82</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67" zoomScaleNormal="100" zoomScaleSheetLayoutView="10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3453</v>
      </c>
      <c r="D1" s="646"/>
      <c r="E1" s="646"/>
      <c r="F1" s="1621" t="s">
        <v>1263</v>
      </c>
      <c r="G1" s="1453" t="s">
        <v>3439</v>
      </c>
      <c r="H1" s="1621" t="str">
        <f>IF(G1="现房","——","估价对象范围")</f>
        <v>——</v>
      </c>
      <c r="I1" s="1622"/>
    </row>
    <row r="2" spans="1:12" ht="21.75" customHeight="1" thickBot="1">
      <c r="A2" s="3302" t="str">
        <f>项目基本情况!S2</f>
        <v>北京市朝阳区慧忠路5号B1501.B1502.B1503.B1505.B1506.B1507房地产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4" t="s">
        <v>1265</v>
      </c>
      <c r="B4" s="1625" t="s">
        <v>1266</v>
      </c>
      <c r="C4" s="1626" t="s">
        <v>3514</v>
      </c>
      <c r="D4" s="1626" t="s">
        <v>3519</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82" t="s">
        <v>1268</v>
      </c>
      <c r="B5" s="3269">
        <v>25</v>
      </c>
      <c r="C5" s="3285"/>
      <c r="D5" s="3305"/>
      <c r="E5" s="123" t="s">
        <v>1269</v>
      </c>
      <c r="F5" s="1627"/>
      <c r="G5" s="1627"/>
      <c r="H5" s="1627"/>
      <c r="I5" s="1281"/>
    </row>
    <row r="6" spans="1:12" ht="13.2">
      <c r="A6" s="3282"/>
      <c r="B6" s="3269"/>
      <c r="C6" s="3286"/>
      <c r="D6" s="3305"/>
      <c r="E6" s="123" t="s">
        <v>1270</v>
      </c>
      <c r="F6" s="1627"/>
      <c r="G6" s="1627"/>
      <c r="H6" s="1627"/>
      <c r="I6" s="1281"/>
    </row>
    <row r="7" spans="1:12" ht="13.2">
      <c r="A7" s="3282"/>
      <c r="B7" s="3269"/>
      <c r="C7" s="3287"/>
      <c r="D7" s="3305"/>
      <c r="E7" s="123" t="s">
        <v>1271</v>
      </c>
      <c r="F7" s="1627"/>
      <c r="G7" s="1627"/>
      <c r="H7" s="1627"/>
      <c r="I7" s="1281"/>
    </row>
    <row r="8" spans="1:12" ht="13.2">
      <c r="A8" s="3282" t="s">
        <v>1272</v>
      </c>
      <c r="B8" s="3269">
        <v>15</v>
      </c>
      <c r="C8" s="3285"/>
      <c r="D8" s="3305"/>
      <c r="E8" s="123" t="s">
        <v>1273</v>
      </c>
      <c r="F8" s="1627"/>
      <c r="G8" s="1627"/>
      <c r="H8" s="1627"/>
      <c r="I8" s="1281"/>
    </row>
    <row r="9" spans="1:12" ht="13.2">
      <c r="A9" s="3282"/>
      <c r="B9" s="3269"/>
      <c r="C9" s="3287"/>
      <c r="D9" s="3305"/>
      <c r="E9" s="123" t="s">
        <v>1274</v>
      </c>
      <c r="F9" s="1627"/>
      <c r="G9" s="1627"/>
      <c r="H9" s="1627"/>
      <c r="I9" s="1281"/>
    </row>
    <row r="10" spans="1:12" ht="13.2">
      <c r="A10" s="3282" t="s">
        <v>1275</v>
      </c>
      <c r="B10" s="3269">
        <v>15</v>
      </c>
      <c r="C10" s="3285"/>
      <c r="D10" s="3305"/>
      <c r="E10" s="123" t="s">
        <v>1276</v>
      </c>
      <c r="F10" s="1627"/>
      <c r="G10" s="1627"/>
      <c r="H10" s="1627"/>
      <c r="I10" s="1281"/>
    </row>
    <row r="11" spans="1:12" ht="13.2">
      <c r="A11" s="3282"/>
      <c r="B11" s="3269"/>
      <c r="C11" s="3287"/>
      <c r="D11" s="3305"/>
      <c r="E11" s="123" t="s">
        <v>1277</v>
      </c>
      <c r="F11" s="1627"/>
      <c r="G11" s="1627"/>
      <c r="H11" s="1627"/>
      <c r="I11" s="1281"/>
    </row>
    <row r="12" spans="1:12" ht="13.2">
      <c r="A12" s="3282" t="s">
        <v>1278</v>
      </c>
      <c r="B12" s="3269">
        <v>15</v>
      </c>
      <c r="C12" s="3285"/>
      <c r="D12" s="3305"/>
      <c r="E12" s="123" t="s">
        <v>1279</v>
      </c>
      <c r="F12" s="1627"/>
      <c r="G12" s="1627"/>
      <c r="H12" s="1627"/>
      <c r="I12" s="1281"/>
    </row>
    <row r="13" spans="1:12" ht="13.2">
      <c r="A13" s="3282"/>
      <c r="B13" s="3269"/>
      <c r="C13" s="3287"/>
      <c r="D13" s="3305"/>
      <c r="E13" s="123" t="s">
        <v>1280</v>
      </c>
      <c r="F13" s="1627"/>
      <c r="G13" s="1627"/>
      <c r="H13" s="1627"/>
      <c r="I13" s="1281"/>
    </row>
    <row r="14" spans="1:12" ht="13.2">
      <c r="A14" s="3282" t="s">
        <v>1281</v>
      </c>
      <c r="B14" s="3269">
        <v>30</v>
      </c>
      <c r="C14" s="3285">
        <v>5</v>
      </c>
      <c r="D14" s="3305">
        <v>5</v>
      </c>
      <c r="E14" s="123" t="s">
        <v>1282</v>
      </c>
      <c r="F14" s="1627"/>
      <c r="G14" s="1627"/>
      <c r="H14" s="1627"/>
      <c r="I14" s="1281"/>
    </row>
    <row r="15" spans="1:12" ht="13.2">
      <c r="A15" s="3282"/>
      <c r="B15" s="3269"/>
      <c r="C15" s="3286"/>
      <c r="D15" s="3305"/>
      <c r="E15" s="123" t="s">
        <v>1283</v>
      </c>
      <c r="F15" s="1627"/>
      <c r="G15" s="1627"/>
      <c r="H15" s="1627"/>
      <c r="I15" s="1281"/>
    </row>
    <row r="16" spans="1:12" ht="13.2">
      <c r="A16" s="3282"/>
      <c r="B16" s="3269"/>
      <c r="C16" s="3287"/>
      <c r="D16" s="330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2" t="s">
        <v>2126</v>
      </c>
      <c r="F18" s="3293"/>
      <c r="G18" s="3293"/>
      <c r="H18" s="3293"/>
      <c r="I18" s="3293"/>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396.02269999999999</v>
      </c>
      <c r="D19" s="127">
        <f ca="1">SUMIF(INDIRECT("'"&amp;D4&amp;"'"&amp;"!A:A"),结果表!B19,INDIRECT("'"&amp;D4&amp;"'"&amp;"!B:B"))</f>
        <v>423.8614</v>
      </c>
      <c r="E19" s="1630" t="s">
        <v>1292</v>
      </c>
      <c r="F19" s="1631" t="s">
        <v>1291</v>
      </c>
      <c r="G19" s="128">
        <f ca="1">ROUND(C19*$C$18+D19*$D$18,0)</f>
        <v>410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23204</v>
      </c>
      <c r="D20" s="130">
        <f ca="1">SUMIF(INDIRECT("'"&amp;D4&amp;"'"&amp;"!A:A"),结果表!B20,INDIRECT("'"&amp;D4&amp;"'"&amp;"!B:B"))</f>
        <v>24835</v>
      </c>
      <c r="E20" s="1633"/>
      <c r="F20" s="43" t="s">
        <v>1295</v>
      </c>
      <c r="G20" s="131">
        <f ca="1">ROUND(C20*$C$18+D20*$D$18,0)</f>
        <v>24020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7.0295717896979193E-2</v>
      </c>
      <c r="E22" s="121"/>
      <c r="F22" s="121"/>
      <c r="G22" s="121"/>
      <c r="H22" s="121"/>
      <c r="I22" s="121"/>
    </row>
    <row r="23" spans="1:36" ht="13.8" thickBot="1">
      <c r="A23" s="646"/>
      <c r="B23" s="646"/>
      <c r="C23" s="646"/>
      <c r="D23" s="646"/>
      <c r="E23" s="121"/>
      <c r="F23" s="121"/>
      <c r="G23" s="121"/>
      <c r="H23" s="121"/>
      <c r="I23" s="121"/>
    </row>
    <row r="24" spans="1:36" ht="14.4">
      <c r="A24" s="3276" t="s">
        <v>1299</v>
      </c>
      <c r="B24" s="1631" t="s">
        <v>1291</v>
      </c>
      <c r="C24" s="128">
        <f>IF(B30=0,0,D30)</f>
        <v>0</v>
      </c>
      <c r="D24" s="1637"/>
      <c r="E24" s="121"/>
      <c r="F24" s="121"/>
      <c r="G24" s="121"/>
      <c r="H24" s="121"/>
      <c r="I24" s="121"/>
    </row>
    <row r="25" spans="1:36" ht="14.4">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24020</v>
      </c>
      <c r="D32" s="1641" t="s">
        <v>3512</v>
      </c>
      <c r="E32" s="121"/>
      <c r="F32" s="121"/>
      <c r="G32" s="121"/>
      <c r="H32" s="121"/>
      <c r="I32" s="121"/>
    </row>
    <row r="33" spans="1:15" ht="14.4">
      <c r="A33" s="740" t="s">
        <v>1306</v>
      </c>
      <c r="B33" s="123"/>
      <c r="C33" s="1642" t="s">
        <v>3513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6" t="s">
        <v>1312</v>
      </c>
      <c r="B36" s="1652" t="s">
        <v>1313</v>
      </c>
      <c r="C36" s="137"/>
      <c r="D36" s="1653"/>
      <c r="E36" s="1567"/>
      <c r="F36" s="1654"/>
      <c r="G36" s="121"/>
      <c r="H36" s="121"/>
      <c r="I36" s="121"/>
    </row>
    <row r="37" spans="1:15" ht="15" thickBot="1">
      <c r="A37" s="3297"/>
      <c r="B37" s="1555" t="s">
        <v>1314</v>
      </c>
      <c r="C37" s="139"/>
      <c r="D37" s="1071"/>
      <c r="E37" s="1071"/>
      <c r="F37" s="1654"/>
      <c r="G37" s="121"/>
      <c r="H37" s="121"/>
      <c r="I37" s="121"/>
    </row>
    <row r="38" spans="1:15" ht="15" thickBot="1">
      <c r="A38" s="329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3174">
        <f ca="1">'典型户型修正 '!S22</f>
        <v>1265.2535</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08">
        <v>1</v>
      </c>
      <c r="K46" s="3332" t="s">
        <v>1331</v>
      </c>
      <c r="L46" s="3332"/>
      <c r="M46" s="3352"/>
      <c r="N46" s="3352"/>
      <c r="O46" s="3352"/>
    </row>
    <row r="47" spans="1:15" ht="12" customHeight="1">
      <c r="A47" s="152" t="s">
        <v>1332</v>
      </c>
      <c r="B47" s="153"/>
      <c r="C47" s="154"/>
      <c r="D47" s="1024" t="s">
        <v>1333</v>
      </c>
      <c r="E47" s="294" t="s">
        <v>1334</v>
      </c>
      <c r="F47" s="155" t="s">
        <v>1335</v>
      </c>
      <c r="G47" s="2331" t="s">
        <v>1336</v>
      </c>
      <c r="H47" s="2332"/>
      <c r="I47" s="151"/>
      <c r="J47" s="2308">
        <v>2</v>
      </c>
      <c r="K47" s="3332" t="s">
        <v>1337</v>
      </c>
      <c r="L47" s="3332"/>
      <c r="M47" s="3353">
        <f>'数据-取费表'!B2</f>
        <v>45775</v>
      </c>
      <c r="N47" s="3353"/>
      <c r="O47" s="3353"/>
    </row>
    <row r="48" spans="1:15" ht="39.6">
      <c r="A48" s="3301" t="s">
        <v>1338</v>
      </c>
      <c r="B48" s="3284"/>
      <c r="C48" s="3284"/>
      <c r="D48" s="12">
        <f ca="1">IF(H48="情况1",0,IF(H48="情况2",D52,IF(H48="情况3",D53,IF(H48="情况4",D54))))</f>
        <v>18.032</v>
      </c>
      <c r="E48" s="1256" t="str">
        <f>IF(H48="情况4","(销售额-原购置价)×税（费）率","销售额×税（费）率")</f>
        <v>(销售额-原购置价)×税（费）率</v>
      </c>
      <c r="F48" s="2333">
        <f>IF(H48="情况1","免征",'数据-取费表'!B41)</f>
        <v>5.6000000000000001E-2</v>
      </c>
      <c r="G48" s="2334" t="s">
        <v>1339</v>
      </c>
      <c r="H48" s="2335" t="s">
        <v>3521</v>
      </c>
      <c r="I48" s="1668"/>
      <c r="J48" s="2308">
        <v>3</v>
      </c>
      <c r="K48" s="3332" t="s">
        <v>1340</v>
      </c>
      <c r="L48" s="3332"/>
      <c r="M48" s="3354">
        <f ca="1">D45</f>
        <v>1265.2535</v>
      </c>
      <c r="N48" s="3354"/>
      <c r="O48" s="3354"/>
    </row>
    <row r="49" spans="1:35" ht="25.5" customHeight="1">
      <c r="A49" s="2151" t="s">
        <v>1341</v>
      </c>
      <c r="B49" s="3268" t="s">
        <v>1342</v>
      </c>
      <c r="C49" s="3268"/>
      <c r="D49" s="1478">
        <v>0</v>
      </c>
      <c r="E49" s="316" t="s">
        <v>1343</v>
      </c>
      <c r="F49" s="2231" t="s">
        <v>28</v>
      </c>
      <c r="G49" s="3338"/>
      <c r="H49" s="2133" t="s">
        <v>2129</v>
      </c>
      <c r="I49" s="2134"/>
      <c r="J49" s="2308">
        <v>4</v>
      </c>
      <c r="K49" s="3332" t="str">
        <f>IF(项目基本情况!E8="房地产抵押价值","房地产抵押价值","抵押担保权已注销时的房地产抵押价值")</f>
        <v>房地产抵押价值</v>
      </c>
      <c r="L49" s="3332"/>
      <c r="M49" s="3354">
        <f ca="1">M48</f>
        <v>1265.2535</v>
      </c>
      <c r="N49" s="3354"/>
      <c r="O49" s="3354"/>
    </row>
    <row r="50" spans="1:35" ht="25.5" customHeight="1">
      <c r="A50" s="2336"/>
      <c r="B50" s="3268" t="s">
        <v>1344</v>
      </c>
      <c r="C50" s="3268"/>
      <c r="D50" s="2188"/>
      <c r="E50" s="323"/>
      <c r="F50" s="2231"/>
      <c r="G50" s="3339"/>
      <c r="H50" s="2135" t="s">
        <v>2130</v>
      </c>
      <c r="I50" s="2134"/>
      <c r="J50" s="3351" t="s">
        <v>1345</v>
      </c>
      <c r="K50" s="3351"/>
      <c r="L50" s="3351"/>
      <c r="M50" s="3351"/>
      <c r="N50" s="3351"/>
      <c r="O50" s="3351"/>
    </row>
    <row r="51" spans="1:35" ht="20.399999999999999" customHeight="1">
      <c r="A51" s="2337"/>
      <c r="B51" s="3268" t="s">
        <v>1346</v>
      </c>
      <c r="C51" s="3268"/>
      <c r="D51" s="1024"/>
      <c r="E51" s="319"/>
      <c r="F51" s="2231"/>
      <c r="G51" s="3340"/>
      <c r="H51" s="2135" t="s">
        <v>2131</v>
      </c>
      <c r="I51" s="2134"/>
      <c r="J51" s="2309" t="s">
        <v>1347</v>
      </c>
      <c r="K51" s="3332" t="s">
        <v>1348</v>
      </c>
      <c r="L51" s="3332"/>
      <c r="M51" s="2309" t="s">
        <v>1349</v>
      </c>
      <c r="N51" s="2309" t="s">
        <v>1350</v>
      </c>
      <c r="O51" s="2309" t="s">
        <v>1351</v>
      </c>
    </row>
    <row r="52" spans="1:35" ht="24" customHeight="1">
      <c r="A52" s="2152" t="s">
        <v>1352</v>
      </c>
      <c r="B52" s="3268" t="s">
        <v>1353</v>
      </c>
      <c r="C52" s="3268"/>
      <c r="D52" s="1024">
        <f ca="1">ROUND(D45*'数据-取费表'!B41/(1+'数据-取费表'!C42),0)</f>
        <v>67</v>
      </c>
      <c r="E52" s="1256" t="s">
        <v>1354</v>
      </c>
      <c r="F52" s="2338">
        <f>'数据-取费表'!B41</f>
        <v>5.6000000000000001E-2</v>
      </c>
      <c r="G52" s="2339"/>
      <c r="H52" s="2329"/>
      <c r="I52" s="1669"/>
      <c r="J52" s="2308">
        <v>1</v>
      </c>
      <c r="K52" s="3333" t="s">
        <v>1355</v>
      </c>
      <c r="L52" s="3333"/>
      <c r="M52" s="2310">
        <f ca="1">D48</f>
        <v>18.032</v>
      </c>
      <c r="N52" s="2308" t="str">
        <f>E48</f>
        <v>(销售额-原购置价)×税（费）率</v>
      </c>
      <c r="O52" s="2311">
        <f>F48</f>
        <v>5.6000000000000001E-2</v>
      </c>
    </row>
    <row r="53" spans="1:35" ht="12" customHeight="1">
      <c r="A53" s="2152" t="s">
        <v>1356</v>
      </c>
      <c r="B53" s="3294" t="s">
        <v>2286</v>
      </c>
      <c r="C53" s="3295"/>
      <c r="D53" s="1024">
        <f ca="1">ROUND(D45*'数据-取费表'!B41/(1+'数据-取费表'!C42),0)</f>
        <v>67</v>
      </c>
      <c r="E53" s="1256" t="s">
        <v>1354</v>
      </c>
      <c r="F53" s="2338">
        <f>'数据-取费表'!B41</f>
        <v>5.6000000000000001E-2</v>
      </c>
      <c r="G53" s="2339"/>
      <c r="H53" s="2329"/>
      <c r="I53" s="1669"/>
      <c r="J53" s="2308">
        <v>2</v>
      </c>
      <c r="K53" s="3333" t="s">
        <v>1357</v>
      </c>
      <c r="L53" s="3333"/>
      <c r="M53" s="2310">
        <f t="shared" ref="M53:O54" ca="1" si="0">D55</f>
        <v>0.63260000000000005</v>
      </c>
      <c r="N53" s="2308" t="str">
        <f t="shared" si="0"/>
        <v>销售额×税（费）率</v>
      </c>
      <c r="O53" s="2311">
        <f t="shared" si="0"/>
        <v>5.0000000000000001E-4</v>
      </c>
    </row>
    <row r="54" spans="1:35" ht="12" customHeight="1">
      <c r="A54" s="2152" t="s">
        <v>1358</v>
      </c>
      <c r="B54" s="3294" t="s">
        <v>2287</v>
      </c>
      <c r="C54" s="3295"/>
      <c r="D54" s="1024">
        <f ca="1">C68</f>
        <v>18.032</v>
      </c>
      <c r="E54" s="319" t="s">
        <v>1359</v>
      </c>
      <c r="F54" s="2338">
        <f>'数据-取费表'!B41</f>
        <v>5.6000000000000001E-2</v>
      </c>
      <c r="G54" s="2339"/>
      <c r="H54" s="2340"/>
      <c r="I54" s="1669"/>
      <c r="J54" s="2308">
        <v>3</v>
      </c>
      <c r="K54" s="3333" t="s">
        <v>1360</v>
      </c>
      <c r="L54" s="3333"/>
      <c r="M54" s="2310">
        <f t="shared" ca="1" si="0"/>
        <v>0</v>
      </c>
      <c r="N54" s="2308" t="str">
        <f t="shared" si="0"/>
        <v>增值额×税（费）率</v>
      </c>
      <c r="O54" s="2312" t="str">
        <f t="shared" si="0"/>
        <v>——</v>
      </c>
    </row>
    <row r="55" spans="1:35" ht="24" customHeight="1">
      <c r="A55" s="3283" t="s">
        <v>1361</v>
      </c>
      <c r="B55" s="3284"/>
      <c r="C55" s="3284"/>
      <c r="D55" s="1504">
        <f ca="1">IF(H55="个人住宅",0,ROUND(D45*I55,4))</f>
        <v>0.63260000000000005</v>
      </c>
      <c r="E55" s="1256" t="s">
        <v>1362</v>
      </c>
      <c r="F55" s="2338">
        <f>IF(H55="正常",I55,"免征")</f>
        <v>5.0000000000000001E-4</v>
      </c>
      <c r="G55" s="2339"/>
      <c r="H55" s="2335" t="s">
        <v>3499</v>
      </c>
      <c r="I55" s="157">
        <f>'数据-取费表'!B49</f>
        <v>5.0000000000000001E-4</v>
      </c>
      <c r="J55" s="2308" t="str">
        <f>IF(H59="非个人房产","",4)</f>
        <v/>
      </c>
      <c r="K55" s="3333" t="str">
        <f>IF(H59="非个人房产","——","个人所得税")</f>
        <v>——</v>
      </c>
      <c r="L55" s="3333"/>
      <c r="M55" s="2313" t="str">
        <f>D59</f>
        <v>——</v>
      </c>
      <c r="N55" s="1883" t="str">
        <f>E59</f>
        <v>——</v>
      </c>
      <c r="O55" s="2314" t="str">
        <f>F59</f>
        <v>——</v>
      </c>
    </row>
    <row r="56" spans="1:35" ht="25.2">
      <c r="A56" s="3283" t="s">
        <v>1363</v>
      </c>
      <c r="B56" s="3284"/>
      <c r="C56" s="3284"/>
      <c r="D56" s="12">
        <f ca="1">IF(H56="个人住宅",D57,D58)</f>
        <v>0</v>
      </c>
      <c r="E56" s="1256" t="s">
        <v>1364</v>
      </c>
      <c r="F56" s="2338" t="str">
        <f>IF(H56="正常",F58,"免征")</f>
        <v>——</v>
      </c>
      <c r="G56" s="2341" t="s">
        <v>1365</v>
      </c>
      <c r="H56" s="2342" t="s">
        <v>3499</v>
      </c>
      <c r="I56" s="1670"/>
      <c r="J56" s="2308" t="str">
        <f>IF(项目基本情况!K6="上海银行",IF(J55="",4,J55+1),"")</f>
        <v/>
      </c>
      <c r="K56" s="3356" t="str">
        <f>IF(项目基本情况!K6="上海银行","其他处置费用","")</f>
        <v/>
      </c>
      <c r="L56" s="3357"/>
      <c r="M56" s="2310" t="str">
        <f>IF(项目基本情况!K6="上海银行",M69,"")</f>
        <v/>
      </c>
      <c r="N56" s="3356" t="str">
        <f>IF(项目基本情况!K6="上海银行","包含处置中涉及的律师、诉讼、拍卖、评估等费用","")</f>
        <v/>
      </c>
      <c r="O56" s="3359"/>
    </row>
    <row r="57" spans="1:35" ht="13.2">
      <c r="A57" s="2152" t="s">
        <v>1341</v>
      </c>
      <c r="B57" s="3294" t="s">
        <v>1366</v>
      </c>
      <c r="C57" s="3295"/>
      <c r="D57" s="1478">
        <v>0</v>
      </c>
      <c r="E57" s="316" t="s">
        <v>1343</v>
      </c>
      <c r="F57" s="294"/>
      <c r="G57" s="2339"/>
      <c r="H57" s="2343"/>
      <c r="I57" s="1670"/>
      <c r="J57" s="3333">
        <f>IF(AND(J55="",J56=""),4,IF(项目基本情况!K6="上海银行",结果表!J56+1,结果表!J55+1))</f>
        <v>4</v>
      </c>
      <c r="K57" s="3333" t="s">
        <v>1367</v>
      </c>
      <c r="L57" s="2315" t="s">
        <v>1368</v>
      </c>
      <c r="M57" s="2316"/>
      <c r="N57" s="2317">
        <f ca="1">SUMIF(M52:M56,"&lt;9e307")</f>
        <v>18.6646</v>
      </c>
      <c r="O57" s="2318"/>
      <c r="P57" s="2461">
        <f ca="1">N57/M49</f>
        <v>1.4751668341561592E-2</v>
      </c>
    </row>
    <row r="58" spans="1:35" ht="25.2">
      <c r="A58" s="2152" t="s">
        <v>1352</v>
      </c>
      <c r="B58" s="3294" t="s">
        <v>1369</v>
      </c>
      <c r="C58" s="3268"/>
      <c r="D58" s="12">
        <f ca="1">IF(H58="转让取得",C81,C97)</f>
        <v>0</v>
      </c>
      <c r="E58" s="1256" t="s">
        <v>1364</v>
      </c>
      <c r="F58" s="294" t="s">
        <v>28</v>
      </c>
      <c r="G58" s="2339"/>
      <c r="H58" s="2342" t="s">
        <v>3522</v>
      </c>
      <c r="I58" s="1670"/>
      <c r="J58" s="3333"/>
      <c r="K58" s="3333"/>
      <c r="L58" s="2315" t="s">
        <v>1370</v>
      </c>
      <c r="M58" s="2319"/>
      <c r="N58" s="2320" t="str">
        <f ca="1">NUMBERSTRING(INT(N57*10000),2)&amp;"元整"</f>
        <v>壹拾捌万陆仟陆佰肆拾陆元整</v>
      </c>
      <c r="O58" s="2321"/>
    </row>
    <row r="59" spans="1:35" ht="24.6" thickBot="1">
      <c r="A59" s="3336" t="s">
        <v>1371</v>
      </c>
      <c r="B59" s="3337"/>
      <c r="C59" s="333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3523</v>
      </c>
      <c r="I59" s="2136" t="s">
        <v>2132</v>
      </c>
      <c r="J59" s="3334">
        <f>J57+1</f>
        <v>5</v>
      </c>
      <c r="K59" s="3333" t="s">
        <v>1372</v>
      </c>
      <c r="L59" s="2308" t="s">
        <v>1368</v>
      </c>
      <c r="M59" s="2322"/>
      <c r="N59" s="2323">
        <f ca="1">M49-N57</f>
        <v>1246.5889</v>
      </c>
      <c r="O59" s="2324"/>
    </row>
    <row r="60" spans="1:35" ht="12" customHeight="1">
      <c r="A60" s="1671"/>
      <c r="B60" s="646"/>
      <c r="C60" s="646"/>
      <c r="D60" s="646"/>
      <c r="E60" s="1466"/>
      <c r="F60" s="1670"/>
      <c r="G60" s="1670"/>
      <c r="H60" s="151"/>
      <c r="I60" s="121"/>
      <c r="J60" s="3335"/>
      <c r="K60" s="3333"/>
      <c r="L60" s="2315" t="s">
        <v>1370</v>
      </c>
      <c r="M60" s="2319"/>
      <c r="N60" s="2320" t="str">
        <f ca="1">NUMBERSTRING(INT(N59*10000),2)&amp;"元整"</f>
        <v>壹仟贰佰肆拾陆万伍仟捌佰捌拾玖元整</v>
      </c>
      <c r="O60" s="2321"/>
    </row>
    <row r="61" spans="1:35" ht="13.8" thickBot="1">
      <c r="A61" s="3281" t="s">
        <v>1373</v>
      </c>
      <c r="B61" s="3281"/>
      <c r="C61" s="3281"/>
      <c r="D61" s="3281"/>
      <c r="E61" s="3281"/>
      <c r="F61" s="1670"/>
      <c r="G61" s="1670"/>
      <c r="H61" s="151"/>
      <c r="I61" s="121"/>
      <c r="J61" s="2308">
        <f>J59+1</f>
        <v>6</v>
      </c>
      <c r="K61" s="3333" t="s">
        <v>1374</v>
      </c>
      <c r="L61" s="3333"/>
      <c r="M61" s="2325"/>
      <c r="N61" s="2326">
        <f ca="1">ROUND(N59*10000/'典型户型修正 '!B22,0)</f>
        <v>23666</v>
      </c>
      <c r="O61" s="2327"/>
    </row>
    <row r="62" spans="1:35" ht="13.2">
      <c r="A62" s="3299" t="s">
        <v>1375</v>
      </c>
      <c r="B62" s="3300"/>
      <c r="C62" s="1865"/>
      <c r="D62" s="1865" t="s">
        <v>1376</v>
      </c>
      <c r="E62" s="158" t="s">
        <v>1377</v>
      </c>
      <c r="F62" s="1670"/>
      <c r="G62" s="1670"/>
      <c r="H62" s="151"/>
      <c r="I62" s="121"/>
    </row>
    <row r="63" spans="1:35" ht="13.2">
      <c r="A63" s="165" t="s">
        <v>330</v>
      </c>
      <c r="B63" s="159" t="s">
        <v>1378</v>
      </c>
      <c r="C63" s="2348">
        <f ca="1">ROUND((C64+C65)/(1+'数据-取费表'!C42),0)</f>
        <v>1205</v>
      </c>
      <c r="D63" s="159"/>
      <c r="E63" s="160"/>
      <c r="F63" s="1670"/>
      <c r="G63" s="1670"/>
      <c r="H63" s="151"/>
      <c r="I63" s="121"/>
      <c r="J63" s="3358" t="s">
        <v>1379</v>
      </c>
      <c r="K63" s="1245" t="s">
        <v>1380</v>
      </c>
      <c r="L63" s="1245">
        <f ca="1">IF(M49&gt;10000,M49*0.5%,IF(AND(M49&gt;1000,M49&lt;=10000),M49*1%,IF(AND(M49&gt;100,M49&lt;=1000),M49*3%,IF(AND(M49&gt;10,M49&lt;=100),M49*5%,M49*8%))))</f>
        <v>12.652535</v>
      </c>
      <c r="M63" s="294">
        <f ca="1">ROUND(L63,1)</f>
        <v>12.7</v>
      </c>
      <c r="N63" s="2328"/>
      <c r="Z63" s="1623"/>
      <c r="AI63" s="1561"/>
    </row>
    <row r="64" spans="1:35" ht="14.25" customHeight="1">
      <c r="A64" s="161" t="s">
        <v>325</v>
      </c>
      <c r="B64" s="162" t="s">
        <v>1381</v>
      </c>
      <c r="C64" s="2349">
        <f ca="1">D45</f>
        <v>1265.2535</v>
      </c>
      <c r="D64" s="162" t="s">
        <v>26</v>
      </c>
      <c r="E64" s="164"/>
      <c r="F64" s="1670"/>
      <c r="G64" s="1670"/>
      <c r="H64" s="151"/>
      <c r="I64" s="121"/>
      <c r="J64" s="3358"/>
      <c r="K64" s="1245" t="s">
        <v>1382</v>
      </c>
      <c r="L64" s="1245">
        <f ca="1">IF(M49&gt;2000,M49*0.5%,IF(AND(M49&gt;1000,M49&lt;=2000),M49*0.6%,IF(AND(M49&gt;500,M49&lt;=1000),M49*0.7%,IF(AND(M49&gt;200,M49&lt;=500),M49*0.8%,IF(AND(M49&gt;100,M49&lt;=200),M49*0.9%,IF(AND(M49&gt;50,M49&lt;=100),M49*1%,IF(AND(M49&gt;20,M49&lt;=50),M49*1.5%,IF(AND(M49&gt;10,M49&lt;=20),M49*2%,IF(AND(M49&gt;1,M49&lt;=10),M49*2.5%)))))))))</f>
        <v>7.5915210000000002</v>
      </c>
      <c r="M64" s="294">
        <f t="shared" ref="M64:M65" ca="1" si="1">ROUND(L64,1)</f>
        <v>7.6</v>
      </c>
      <c r="N64" s="2329" t="s">
        <v>1383</v>
      </c>
      <c r="Z64" s="1623"/>
      <c r="AI64" s="1561"/>
    </row>
    <row r="65" spans="1:35" ht="14.25" customHeight="1">
      <c r="A65" s="161" t="s">
        <v>326</v>
      </c>
      <c r="B65" s="162" t="s">
        <v>1384</v>
      </c>
      <c r="C65" s="2350"/>
      <c r="D65" s="162"/>
      <c r="E65" s="164"/>
      <c r="F65" s="1670"/>
      <c r="G65" s="1670"/>
      <c r="H65" s="151"/>
      <c r="I65" s="121"/>
      <c r="J65" s="3358"/>
      <c r="K65" s="1245" t="s">
        <v>1385</v>
      </c>
      <c r="L65" s="1245">
        <f ca="1">IF(M49&gt;1000,M49*0.1%,IF(AND(M49&gt;500,M49&lt;=1000),M49*0.5%,IF(AND(M49&gt;50,M49&lt;=500),M49*1%,IF(AND(M49&gt;1,M49&lt;=50),M49*1.5%))))</f>
        <v>1.2652535</v>
      </c>
      <c r="M65" s="294">
        <f t="shared" ca="1" si="1"/>
        <v>1.3</v>
      </c>
      <c r="N65" s="2329" t="s">
        <v>1383</v>
      </c>
      <c r="Z65" s="1623"/>
      <c r="AI65" s="1561"/>
    </row>
    <row r="66" spans="1:35" ht="14.25" customHeight="1">
      <c r="A66" s="165" t="s">
        <v>327</v>
      </c>
      <c r="B66" s="166" t="s">
        <v>1386</v>
      </c>
      <c r="C66" s="2351">
        <f>面积信息!K10</f>
        <v>883</v>
      </c>
      <c r="D66" s="166" t="s">
        <v>26</v>
      </c>
      <c r="E66" s="1251" t="s">
        <v>671</v>
      </c>
      <c r="F66" s="1670"/>
      <c r="G66" s="1670"/>
      <c r="H66" s="151"/>
      <c r="I66" s="121"/>
      <c r="J66" s="3358"/>
      <c r="K66" s="1245" t="s">
        <v>1387</v>
      </c>
      <c r="L66" s="1245">
        <f ca="1">M49*0.5%</f>
        <v>6.3262675000000002</v>
      </c>
      <c r="M66" s="294">
        <f ca="1">IF(L66&gt;0.5,0.5,ROUND(L66,0))</f>
        <v>0.5</v>
      </c>
      <c r="N66" s="2329" t="s">
        <v>1388</v>
      </c>
      <c r="Z66" s="1623"/>
      <c r="AI66" s="1561"/>
    </row>
    <row r="67" spans="1:35" ht="14.25" customHeight="1">
      <c r="A67" s="165" t="s">
        <v>328</v>
      </c>
      <c r="B67" s="166" t="s">
        <v>1389</v>
      </c>
      <c r="C67" s="2352">
        <f ca="1">C63-C66</f>
        <v>322</v>
      </c>
      <c r="D67" s="162" t="s">
        <v>26</v>
      </c>
      <c r="E67" s="164"/>
      <c r="F67" s="1670"/>
      <c r="G67" s="1670"/>
      <c r="H67" s="151"/>
      <c r="I67" s="121"/>
      <c r="J67" s="3358"/>
      <c r="K67" s="1245" t="s">
        <v>1390</v>
      </c>
      <c r="L67" s="1245">
        <f ca="1">IF(M49&gt;=10000,(8.25+(M49-10000)*0.01%),IF(AND(M49&gt;=8000,M49&lt;10000),(7.85+(M49-8000)*0.02%),IF(AND(M49&gt;=5000,M49&lt;8000),(6.65+(M49-5000)*0.04%),IF(AND(M49&gt;=2000,M49&lt;5000),(4.25+(PM49-2000)*0.08%),IF(AND(M49&gt;=1000,M49&lt;2000),(2.75+(M49-1000)*0.15%),IF(AND(M49&gt;=100,M49&lt;1000),(0.5+(M49-100)*0.25%),IF(AND(M49&gt;0,M49&lt;100),M49*0.5%)))))))</f>
        <v>3.14788025</v>
      </c>
      <c r="M67" s="294">
        <f ca="1">ROUND(L67*0.9,1)</f>
        <v>2.8</v>
      </c>
      <c r="N67" s="2328"/>
      <c r="Z67" s="1623"/>
      <c r="AI67" s="1561"/>
    </row>
    <row r="68" spans="1:35" ht="14.25" customHeight="1" thickBot="1">
      <c r="A68" s="168" t="s">
        <v>329</v>
      </c>
      <c r="B68" s="169" t="s">
        <v>1391</v>
      </c>
      <c r="C68" s="3175">
        <f ca="1">IF(C67&lt;=0,0,ROUND(C67*D68,4))</f>
        <v>18.032</v>
      </c>
      <c r="D68" s="2353">
        <f>'数据-取费表'!B41</f>
        <v>5.6000000000000001E-2</v>
      </c>
      <c r="E68" s="170"/>
      <c r="F68" s="1670"/>
      <c r="G68" s="1670"/>
      <c r="H68" s="151"/>
      <c r="I68" s="121"/>
      <c r="J68" s="3358"/>
      <c r="K68" s="1245" t="s">
        <v>1392</v>
      </c>
      <c r="L68" s="1245">
        <f ca="1">IF(M49&gt;10000,M49*0.5%,IF(AND(M49&gt;5000,M49&lt;=10000),M49*1%,IF(AND(M49&gt;1000,M49&lt;=5000),M49*2%,IF(AND(M49&gt;200,M49&lt;=1000),M49*3%,M49*5%))))</f>
        <v>25.305070000000001</v>
      </c>
      <c r="M68" s="294">
        <f ca="1">ROUND(L68,1)</f>
        <v>25.3</v>
      </c>
      <c r="N68" s="2328"/>
      <c r="Z68" s="1623"/>
      <c r="AI68" s="1561"/>
    </row>
    <row r="69" spans="1:35" ht="16.5" customHeight="1">
      <c r="A69" s="1672"/>
      <c r="B69" s="1673"/>
      <c r="C69" s="1674"/>
      <c r="D69" s="1675"/>
      <c r="E69" s="1676"/>
      <c r="F69" s="1466"/>
      <c r="G69" s="1466"/>
      <c r="H69" s="1467"/>
      <c r="I69" s="646"/>
      <c r="J69" s="3358"/>
      <c r="K69" s="1245" t="s">
        <v>1393</v>
      </c>
      <c r="L69" s="1245"/>
      <c r="M69" s="294">
        <f ca="1">ROUND(SUM(M63:M68),0)</f>
        <v>50</v>
      </c>
      <c r="N69" s="2330">
        <f ca="1">M69/M49</f>
        <v>3.9517772525426723E-2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1205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1712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1705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f>面积信息!K10</f>
        <v>883</v>
      </c>
      <c r="D75" s="162" t="s">
        <v>26</v>
      </c>
      <c r="E75" s="176" t="s">
        <v>1399</v>
      </c>
      <c r="F75" s="2355" t="s">
        <v>3528</v>
      </c>
      <c r="G75" s="176" t="s">
        <v>1400</v>
      </c>
      <c r="H75" s="2356">
        <f>2025-2007</f>
        <v>18</v>
      </c>
      <c r="I75" s="1681" t="s">
        <v>3538</v>
      </c>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795</v>
      </c>
      <c r="D76" s="2357">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27</v>
      </c>
      <c r="D77" s="2358">
        <f>'数据-取费表'!B48+'数据-取费表'!B49</f>
        <v>3.0499999999999999E-2</v>
      </c>
      <c r="E77" s="12" t="s">
        <v>1404</v>
      </c>
      <c r="F77" s="178"/>
      <c r="G77" s="1682" t="s">
        <v>3529</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7</v>
      </c>
      <c r="D78" s="2360">
        <f>'数据-取费表'!B43</f>
        <v>6.000000000000001E-3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-507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1205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7</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360" t="s">
        <v>2124</v>
      </c>
      <c r="H90" s="3361"/>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78" t="s">
        <v>1422</v>
      </c>
      <c r="F92" s="3279"/>
      <c r="G92" s="3279"/>
      <c r="H92" s="3288"/>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7</v>
      </c>
      <c r="D93" s="2360">
        <f>'数据-取费表'!B43</f>
        <v>6.000000000000001E-3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1198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171.14285714285714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716</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80"/>
      <c r="E100" s="3260" t="s">
        <v>1429</v>
      </c>
      <c r="F100" s="3260"/>
      <c r="G100" s="3260"/>
      <c r="H100" s="3280"/>
      <c r="I100" s="121"/>
    </row>
    <row r="101" spans="1:35" ht="18.75" customHeight="1">
      <c r="A101" s="3341" t="s">
        <v>1430</v>
      </c>
      <c r="B101" s="3342"/>
      <c r="C101" s="2368" t="str">
        <f>C4</f>
        <v>比较法-办公</v>
      </c>
      <c r="D101" s="2369" t="str">
        <f>D4</f>
        <v>成本法 (元)</v>
      </c>
      <c r="E101" s="3355" t="s">
        <v>1431</v>
      </c>
      <c r="F101" s="3312"/>
      <c r="G101" s="1687" t="s">
        <v>1432</v>
      </c>
      <c r="H101" s="2378">
        <f ca="1">H118</f>
        <v>0</v>
      </c>
      <c r="I101" s="121"/>
    </row>
    <row r="102" spans="1:35" ht="18.75" customHeight="1">
      <c r="A102" s="3314" t="s">
        <v>1433</v>
      </c>
      <c r="B102" s="2367" t="s">
        <v>1432</v>
      </c>
      <c r="C102" s="2368">
        <f ca="1">IF(D32="楼面单价",ROUND(C19,0),C19)</f>
        <v>396</v>
      </c>
      <c r="D102" s="2369">
        <f ca="1">IF(D32="楼面单价",ROUND(D19,0),D19)</f>
        <v>424</v>
      </c>
      <c r="E102" s="3355"/>
      <c r="F102" s="3312"/>
      <c r="G102" s="1687" t="s">
        <v>1434</v>
      </c>
      <c r="H102" s="2339">
        <f ca="1">I118</f>
        <v>24020</v>
      </c>
      <c r="I102" s="121"/>
    </row>
    <row r="103" spans="1:35" ht="42.75" customHeight="1">
      <c r="A103" s="3314"/>
      <c r="B103" s="2367" t="s">
        <v>1434</v>
      </c>
      <c r="C103" s="2370">
        <f ca="1">C20</f>
        <v>23204</v>
      </c>
      <c r="D103" s="2371">
        <f ca="1">D20</f>
        <v>24835</v>
      </c>
      <c r="E103" s="3349" t="s">
        <v>1435</v>
      </c>
      <c r="F103" s="3350"/>
      <c r="G103" s="1688" t="s">
        <v>1436</v>
      </c>
      <c r="H103" s="2378">
        <f>IF(D36="正常操作",H104+H105+H106,H105+H106)</f>
        <v>0</v>
      </c>
      <c r="I103" s="121"/>
    </row>
    <row r="104" spans="1:35" ht="18.75" customHeight="1">
      <c r="A104" s="3314" t="s">
        <v>1437</v>
      </c>
      <c r="B104" s="2372" t="s">
        <v>1432</v>
      </c>
      <c r="C104" s="2373">
        <f ca="1">H118</f>
        <v>0</v>
      </c>
      <c r="D104" s="2374"/>
      <c r="E104" s="1555" t="s">
        <v>1438</v>
      </c>
      <c r="F104" s="1548"/>
      <c r="G104" s="1688" t="s">
        <v>1436</v>
      </c>
      <c r="H104" s="2379">
        <f>IF(D36="同一抵押权人同一抵押物续贷",C36&amp;"（续贷，未扣减，详见特别提示）",C36)</f>
        <v>0</v>
      </c>
      <c r="I104" s="121"/>
    </row>
    <row r="105" spans="1:35" ht="18.75" customHeight="1" thickBot="1">
      <c r="A105" s="3315"/>
      <c r="B105" s="2375" t="s">
        <v>1434</v>
      </c>
      <c r="C105" s="2376">
        <f ca="1">I118</f>
        <v>24020</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1" t="str">
        <f>IF(项目基本情况!E8="已注销","——","3.房地产抵押价值")</f>
        <v>3.房地产抵押价值</v>
      </c>
      <c r="F107" s="3312"/>
      <c r="G107" s="1687" t="s">
        <v>1432</v>
      </c>
      <c r="H107" s="2378">
        <f ca="1">IF(E107="——","——",H101-H103)</f>
        <v>0</v>
      </c>
      <c r="I107" s="121"/>
    </row>
    <row r="108" spans="1:35" ht="18.75" customHeight="1">
      <c r="A108" s="121"/>
      <c r="B108" s="121"/>
      <c r="C108" s="121"/>
      <c r="D108" s="121"/>
      <c r="E108" s="3311"/>
      <c r="F108" s="3312"/>
      <c r="G108" s="1687" t="s">
        <v>1434</v>
      </c>
      <c r="H108" s="2339">
        <f ca="1">IF(H107=H101,H102,ROUND(H107*10000/'数据-汇总表'!E3,0))</f>
        <v>24020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1" t="str">
        <f>IF(E109="——","——",H101-H105-H106)</f>
        <v>——</v>
      </c>
      <c r="I109" s="121"/>
    </row>
    <row r="110" spans="1:35" ht="18.75" customHeight="1">
      <c r="A110" s="121"/>
      <c r="B110" s="121"/>
      <c r="C110" s="121"/>
      <c r="D110" s="121"/>
      <c r="E110" s="3311"/>
      <c r="F110" s="3312"/>
      <c r="G110" s="1687" t="s">
        <v>1434</v>
      </c>
      <c r="H110" s="2339"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4.抵押净值</v>
      </c>
      <c r="F111" s="3313"/>
      <c r="G111" s="1687" t="s">
        <v>1432</v>
      </c>
      <c r="H111" s="2378">
        <f ca="1">IF(E111="——","——",N59)</f>
        <v>1246.5889</v>
      </c>
      <c r="I111" s="121"/>
    </row>
    <row r="112" spans="1:35" ht="18.75" customHeight="1" thickBot="1">
      <c r="A112" s="121"/>
      <c r="B112" s="121"/>
      <c r="C112" s="121"/>
      <c r="D112" s="121"/>
      <c r="E112" s="3344"/>
      <c r="F112" s="3345"/>
      <c r="G112" s="1690" t="s">
        <v>1434</v>
      </c>
      <c r="H112" s="2382">
        <f ca="1">IF(E111="——","——",N61)</f>
        <v>23666</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3" t="str">
        <f>项目基本情况!S2</f>
        <v>北京市朝阳区慧忠路5号B1501.B1502.B1503.B1505.B1506.B1507房地产</v>
      </c>
      <c r="B118" s="2149">
        <f>M18</f>
        <v>0</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0</v>
      </c>
      <c r="I118" s="2149">
        <f ca="1">ROUND(IF(D32="楼面单价",C32,H118*10000/B118),0)</f>
        <v>24020</v>
      </c>
    </row>
    <row r="119" spans="1:27" ht="18.75" customHeight="1">
      <c r="A119" s="3282" t="s">
        <v>1452</v>
      </c>
      <c r="B119" s="3282"/>
      <c r="C119" s="3282"/>
      <c r="D119" s="3322" t="str">
        <f>NUMBERSTRING(INT(D118*10000),2)&amp;"元整"</f>
        <v>零元整</v>
      </c>
      <c r="E119" s="3324"/>
      <c r="F119" s="3322" t="str">
        <f>NUMBERSTRING(INT(F118*10000),2)&amp;"元整"</f>
        <v>零元整</v>
      </c>
      <c r="G119" s="3324"/>
      <c r="H119" s="3322" t="str">
        <f ca="1">NUMBERSTRING(INT(H118*10000),2)&amp;"元整"</f>
        <v>零元整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0</v>
      </c>
      <c r="E122" s="3347"/>
      <c r="F122" s="3347"/>
      <c r="G122" s="3347"/>
      <c r="H122" s="3347"/>
      <c r="I122" s="3348"/>
      <c r="AA122" s="684"/>
    </row>
    <row r="123" spans="1:27" ht="18.75" customHeight="1">
      <c r="A123" s="3282" t="s">
        <v>1452</v>
      </c>
      <c r="B123" s="3282"/>
      <c r="C123" s="3282"/>
      <c r="D123" s="3322" t="str">
        <f ca="1">NUMBERSTRING(INT(D122*10000),2)&amp;"元整"</f>
        <v>零元整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抵押净值</v>
      </c>
      <c r="B126" s="3313"/>
      <c r="C126" s="3313"/>
      <c r="D126" s="3346">
        <f ca="1">H111</f>
        <v>1246.5889</v>
      </c>
      <c r="E126" s="3347"/>
      <c r="F126" s="3347"/>
      <c r="G126" s="3347"/>
      <c r="H126" s="3347"/>
      <c r="I126" s="3348"/>
      <c r="AA126" s="684"/>
    </row>
    <row r="127" spans="1:27" ht="18.75" customHeight="1">
      <c r="A127" s="3282" t="s">
        <v>1452</v>
      </c>
      <c r="B127" s="3282"/>
      <c r="C127" s="3282"/>
      <c r="D127" s="3322" t="str">
        <f ca="1">NUMBERSTRING(INT(D126*10000),2)&amp;"元整"</f>
        <v>壹仟贰佰肆拾陆万伍仟捌佰捌拾玖元整</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OH6//c01NYtSh1C3ah9AY5MmbV6jMntbsLiIDLsei9BFwhxER7u4f3TWfgA5szqYvNHWy131sukKNl465272Q==" saltValue="YmdYoASJ6P9SCMpJh8EJr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北京市朝阳区慧忠路5号B1501.B1502.B1503.B1505.B1506.B1507房地产抵押价值预评估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6640625" style="347" customWidth="1"/>
    <col min="6" max="6" width="12.21875" style="347" customWidth="1"/>
    <col min="7" max="7" width="16.1093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3539</v>
      </c>
      <c r="E1" s="3128" t="s">
        <v>3497</v>
      </c>
      <c r="F1" s="1735" t="s">
        <v>3498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396.02269999999999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23204</v>
      </c>
      <c r="C3" s="344" t="s">
        <v>1768</v>
      </c>
      <c r="D3" s="343">
        <f>IF(D1="",'数据-汇总表'!E3,SUMIF('数据-汇总表'!$C19:$C33,D1,'数据-汇总表'!$E19:$E33))</f>
        <v>170.67</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384" t="s">
        <v>1775</v>
      </c>
      <c r="Q4" s="3385"/>
      <c r="R4" s="3390" t="s">
        <v>1771</v>
      </c>
      <c r="S4" s="3391"/>
      <c r="T4" s="3390" t="s">
        <v>1772</v>
      </c>
      <c r="U4" s="3391"/>
      <c r="V4" s="3396" t="s">
        <v>1773</v>
      </c>
      <c r="W4" s="3396"/>
      <c r="X4" s="1809"/>
      <c r="Y4" s="3390" t="s">
        <v>1775</v>
      </c>
      <c r="Z4" s="3391"/>
      <c r="AA4" s="3408" t="s">
        <v>1771</v>
      </c>
      <c r="AB4" s="3408" t="s">
        <v>1772</v>
      </c>
      <c r="AC4" s="3377" t="s">
        <v>1773</v>
      </c>
    </row>
    <row r="5" spans="1:29">
      <c r="A5" s="348"/>
      <c r="B5" s="349"/>
      <c r="C5" s="3405" t="s">
        <v>3518</v>
      </c>
      <c r="D5" s="3400"/>
      <c r="E5" s="3411" t="str">
        <f>C5</f>
        <v>远大中心</v>
      </c>
      <c r="F5" s="3412"/>
      <c r="G5" s="3399" t="str">
        <f>C5</f>
        <v>远大中心</v>
      </c>
      <c r="H5" s="3400"/>
      <c r="I5" s="3399" t="str">
        <f>C5</f>
        <v>远大中心</v>
      </c>
      <c r="J5" s="3400"/>
      <c r="K5" s="537"/>
      <c r="L5" s="2483"/>
      <c r="M5" s="2484"/>
      <c r="N5" s="2484"/>
      <c r="O5" s="2484"/>
      <c r="P5" s="3386"/>
      <c r="Q5" s="3387"/>
      <c r="R5" s="3392"/>
      <c r="S5" s="3393"/>
      <c r="T5" s="3392"/>
      <c r="U5" s="3393"/>
      <c r="V5" s="3364"/>
      <c r="W5" s="3364"/>
      <c r="X5" s="1265"/>
      <c r="Y5" s="3392"/>
      <c r="Z5" s="3393"/>
      <c r="AA5" s="3409"/>
      <c r="AB5" s="3409"/>
      <c r="AC5" s="3378"/>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388"/>
      <c r="Q6" s="3389"/>
      <c r="R6" s="3392"/>
      <c r="S6" s="3393"/>
      <c r="T6" s="3394"/>
      <c r="U6" s="3395"/>
      <c r="V6" s="3364"/>
      <c r="W6" s="3364"/>
      <c r="X6" s="1265"/>
      <c r="Y6" s="3394"/>
      <c r="Z6" s="3395"/>
      <c r="AA6" s="3410"/>
      <c r="AB6" s="3410"/>
      <c r="AC6" s="3379"/>
    </row>
    <row r="7" spans="1:29" s="102" customFormat="1" ht="15" thickBot="1">
      <c r="A7" s="352" t="s">
        <v>1679</v>
      </c>
      <c r="B7" s="353"/>
      <c r="C7" s="354">
        <f>'数据-取费表'!B2</f>
        <v>45775</v>
      </c>
      <c r="D7" s="355">
        <v>100</v>
      </c>
      <c r="E7" s="356">
        <f>C7</f>
        <v>45775</v>
      </c>
      <c r="F7" s="357">
        <f>SUMIF(59:59,YEAR(E7)&amp;"-"&amp;MONTH(E7),60:60)</f>
        <v>100</v>
      </c>
      <c r="G7" s="356">
        <f>C7</f>
        <v>45775</v>
      </c>
      <c r="H7" s="355">
        <f>SUMIF(59:59,YEAR(G7)&amp;"-"&amp;MONTH(G7),60:60)</f>
        <v>100</v>
      </c>
      <c r="I7" s="356">
        <f>C7</f>
        <v>45775</v>
      </c>
      <c r="J7" s="355">
        <f>SUMIF(59:59,YEAR(I7)&amp;"-"&amp;MONTH(I7),60:60)</f>
        <v>100</v>
      </c>
      <c r="K7" s="38"/>
      <c r="L7" s="2485"/>
      <c r="M7" s="2437"/>
      <c r="N7" s="2437"/>
      <c r="O7" s="2437"/>
      <c r="P7" s="3401" t="s">
        <v>1680</v>
      </c>
      <c r="Q7" s="3404"/>
      <c r="R7" s="664" t="s">
        <v>14</v>
      </c>
      <c r="S7" s="665">
        <f t="shared" ref="S7:S15" si="0">F7</f>
        <v>100</v>
      </c>
      <c r="T7" s="664" t="s">
        <v>14</v>
      </c>
      <c r="U7" s="665">
        <f t="shared" ref="U7:U15" si="1">H7</f>
        <v>100</v>
      </c>
      <c r="V7" s="664" t="s">
        <v>14</v>
      </c>
      <c r="W7" s="665">
        <f t="shared" ref="W7:W15" si="2">J7</f>
        <v>100</v>
      </c>
      <c r="X7" s="666"/>
      <c r="Y7" s="3403" t="s">
        <v>1680</v>
      </c>
      <c r="Z7" s="3402"/>
      <c r="AA7" s="50">
        <f>D7/F7</f>
        <v>1</v>
      </c>
      <c r="AB7" s="50">
        <f>D7/H7</f>
        <v>1</v>
      </c>
      <c r="AC7" s="802">
        <f>D7/J7</f>
        <v>1</v>
      </c>
    </row>
    <row r="8" spans="1:29" s="102" customFormat="1" ht="15" thickBot="1">
      <c r="A8" s="352" t="s">
        <v>1681</v>
      </c>
      <c r="B8" s="353"/>
      <c r="C8" s="358" t="s">
        <v>3499</v>
      </c>
      <c r="D8" s="355">
        <v>100</v>
      </c>
      <c r="E8" s="358" t="s">
        <v>3473</v>
      </c>
      <c r="F8" s="357">
        <f>SUMIF(62:62,E8,63:63)-SUMIF(62:62,C8,63:63)+100</f>
        <v>102</v>
      </c>
      <c r="G8" s="358" t="s">
        <v>3473</v>
      </c>
      <c r="H8" s="355">
        <f>SUMIF(62:62,G8,63:63)-SUMIF(62:62,C8,63:63)+100</f>
        <v>102</v>
      </c>
      <c r="I8" s="358" t="s">
        <v>3473</v>
      </c>
      <c r="J8" s="355">
        <f>SUMIF(62:62,I8,63:63)-SUMIF(62:62,C8,63:63)+100</f>
        <v>102</v>
      </c>
      <c r="K8" s="38"/>
      <c r="L8" s="2485"/>
      <c r="M8" s="2437"/>
      <c r="N8" s="2437"/>
      <c r="O8" s="2437"/>
      <c r="P8" s="3401" t="s">
        <v>1683</v>
      </c>
      <c r="Q8" s="3402"/>
      <c r="R8" s="664" t="s">
        <v>14</v>
      </c>
      <c r="S8" s="665">
        <f t="shared" si="0"/>
        <v>102</v>
      </c>
      <c r="T8" s="664" t="s">
        <v>14</v>
      </c>
      <c r="U8" s="665">
        <f t="shared" si="1"/>
        <v>102</v>
      </c>
      <c r="V8" s="664" t="s">
        <v>14</v>
      </c>
      <c r="W8" s="665">
        <f t="shared" si="2"/>
        <v>102</v>
      </c>
      <c r="X8" s="666"/>
      <c r="Y8" s="3403" t="s">
        <v>1683</v>
      </c>
      <c r="Z8" s="340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1" t="s">
        <v>3500</v>
      </c>
      <c r="D9" s="59">
        <v>100</v>
      </c>
      <c r="E9" s="362" t="s">
        <v>21</v>
      </c>
      <c r="F9" s="59">
        <f>SUMIF(64:64,E9,65:65)-SUMIF(64:64,C9,65:65)+100</f>
        <v>100</v>
      </c>
      <c r="G9" s="362" t="s">
        <v>21</v>
      </c>
      <c r="H9" s="59">
        <f>SUMIF(64:64,G9,65:65)-SUMIF(64:64,C9,65:65)+100</f>
        <v>100</v>
      </c>
      <c r="I9" s="362" t="s">
        <v>21</v>
      </c>
      <c r="J9" s="59">
        <f>SUMIF(64:64,I9,65:65)-SUMIF(64:64,C9,65:65)+100</f>
        <v>100</v>
      </c>
      <c r="K9" s="38"/>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8.8">
      <c r="A10" s="363"/>
      <c r="B10" s="364" t="s">
        <v>1688</v>
      </c>
      <c r="C10" s="3129" t="s">
        <v>3501</v>
      </c>
      <c r="D10" s="119">
        <v>100</v>
      </c>
      <c r="E10" s="3129" t="s">
        <v>3501</v>
      </c>
      <c r="F10" s="119">
        <f>SUMIF(66:66,E10,67:67)-SUMIF(66:66,C10,67:67)+100</f>
        <v>100</v>
      </c>
      <c r="G10" s="3129" t="s">
        <v>3501</v>
      </c>
      <c r="H10" s="119">
        <f>SUMIF(66:66,G10,67:67)-SUMIF(66:66,C10,67:67)+100</f>
        <v>100</v>
      </c>
      <c r="I10" s="3129" t="s">
        <v>3501</v>
      </c>
      <c r="J10" s="119">
        <f>SUMIF(66:66,I10,67:67)-SUMIF(66:66,C10,67:67)+100</f>
        <v>100</v>
      </c>
      <c r="K10" s="38"/>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62"/>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362"/>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62"/>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62"/>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9"/>
      <c r="M15" s="2484"/>
      <c r="N15" s="2484"/>
      <c r="O15" s="2484"/>
      <c r="P15" s="3368"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t="s">
        <v>3461</v>
      </c>
      <c r="D16" s="387"/>
      <c r="E16" s="1758" t="s">
        <v>3461</v>
      </c>
      <c r="F16" s="387"/>
      <c r="G16" s="1758" t="s">
        <v>3461</v>
      </c>
      <c r="H16" s="389"/>
      <c r="I16" s="1758" t="s">
        <v>3461</v>
      </c>
      <c r="J16" s="387"/>
      <c r="K16" s="541"/>
      <c r="L16" s="2489"/>
      <c r="M16" s="2484"/>
      <c r="N16" s="2484"/>
      <c r="O16" s="2484"/>
      <c r="P16" s="3369"/>
      <c r="Q16" s="1263"/>
      <c r="R16" s="667"/>
      <c r="S16" s="668"/>
      <c r="T16" s="667"/>
      <c r="U16" s="668"/>
      <c r="V16" s="667"/>
      <c r="W16" s="668"/>
      <c r="X16" s="1265"/>
      <c r="Y16" s="337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t="s">
        <v>3461</v>
      </c>
      <c r="D18" s="389"/>
      <c r="E18" s="1758" t="s">
        <v>3461</v>
      </c>
      <c r="F18" s="389"/>
      <c r="G18" s="1758" t="s">
        <v>3461</v>
      </c>
      <c r="H18" s="387"/>
      <c r="I18" s="1758" t="s">
        <v>3461</v>
      </c>
      <c r="J18" s="387"/>
      <c r="K18" s="541"/>
      <c r="L18" s="2489"/>
      <c r="M18" s="2484"/>
      <c r="N18" s="2484"/>
      <c r="O18" s="2484"/>
      <c r="P18" s="3369"/>
      <c r="Q18" s="1263"/>
      <c r="R18" s="667"/>
      <c r="S18" s="668"/>
      <c r="T18" s="667"/>
      <c r="U18" s="668"/>
      <c r="V18" s="667"/>
      <c r="W18" s="668"/>
      <c r="X18" s="1265"/>
      <c r="Y18" s="337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t="s">
        <v>3461</v>
      </c>
      <c r="D20" s="387"/>
      <c r="E20" s="1758" t="s">
        <v>3461</v>
      </c>
      <c r="F20" s="387"/>
      <c r="G20" s="1758" t="s">
        <v>3461</v>
      </c>
      <c r="H20" s="387"/>
      <c r="I20" s="1758" t="s">
        <v>3461</v>
      </c>
      <c r="J20" s="387"/>
      <c r="K20" s="541"/>
      <c r="L20" s="2489"/>
      <c r="M20" s="2484"/>
      <c r="N20" s="2484"/>
      <c r="O20" s="2484"/>
      <c r="P20" s="3369"/>
      <c r="Q20" s="1263"/>
      <c r="R20" s="667"/>
      <c r="S20" s="668"/>
      <c r="T20" s="667"/>
      <c r="U20" s="668"/>
      <c r="V20" s="667"/>
      <c r="W20" s="668"/>
      <c r="X20" s="1265"/>
      <c r="Y20" s="337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t="s">
        <v>3488</v>
      </c>
      <c r="D22" s="387"/>
      <c r="E22" s="1814" t="s">
        <v>3488</v>
      </c>
      <c r="F22" s="387"/>
      <c r="G22" s="1814" t="s">
        <v>3488</v>
      </c>
      <c r="H22" s="387"/>
      <c r="I22" s="1814" t="s">
        <v>3488</v>
      </c>
      <c r="J22" s="387"/>
      <c r="K22" s="1064"/>
      <c r="L22" s="2489"/>
      <c r="M22" s="2484"/>
      <c r="N22" s="2484"/>
      <c r="O22" s="2484"/>
      <c r="P22" s="3369"/>
      <c r="Q22" s="1263"/>
      <c r="R22" s="667"/>
      <c r="S22" s="668"/>
      <c r="T22" s="667"/>
      <c r="U22" s="668"/>
      <c r="V22" s="667"/>
      <c r="W22" s="668"/>
      <c r="X22" s="1265"/>
      <c r="Y22" s="337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369"/>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t="s">
        <v>3461</v>
      </c>
      <c r="D24" s="387"/>
      <c r="E24" s="1758" t="s">
        <v>3461</v>
      </c>
      <c r="F24" s="387"/>
      <c r="G24" s="1758" t="s">
        <v>3461</v>
      </c>
      <c r="H24" s="387"/>
      <c r="I24" s="1758" t="s">
        <v>3461</v>
      </c>
      <c r="J24" s="387"/>
      <c r="K24" s="541"/>
      <c r="L24" s="2489"/>
      <c r="M24" s="2484"/>
      <c r="N24" s="2484"/>
      <c r="O24" s="2484"/>
      <c r="P24" s="3369"/>
      <c r="Q24" s="1263"/>
      <c r="R24" s="667"/>
      <c r="S24" s="668"/>
      <c r="T24" s="667"/>
      <c r="U24" s="668"/>
      <c r="V24" s="667"/>
      <c r="W24" s="668"/>
      <c r="X24" s="1265"/>
      <c r="Y24" s="337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89"/>
      <c r="M25" s="2484"/>
      <c r="N25" s="2484"/>
      <c r="O25" s="2484"/>
      <c r="P25" s="3369"/>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t="s">
        <v>3508</v>
      </c>
      <c r="D26" s="374"/>
      <c r="E26" s="558" t="s">
        <v>3508</v>
      </c>
      <c r="F26" s="374"/>
      <c r="G26" s="558" t="s">
        <v>3508</v>
      </c>
      <c r="H26" s="374"/>
      <c r="I26" s="558" t="s">
        <v>3508</v>
      </c>
      <c r="J26" s="374"/>
      <c r="K26" s="541"/>
      <c r="L26" s="2489"/>
      <c r="M26" s="2484"/>
      <c r="N26" s="2484"/>
      <c r="O26" s="2484"/>
      <c r="P26" s="3369"/>
      <c r="Q26" s="1263"/>
      <c r="R26" s="667"/>
      <c r="S26" s="668"/>
      <c r="T26" s="667"/>
      <c r="U26" s="668"/>
      <c r="V26" s="667"/>
      <c r="W26" s="668"/>
      <c r="X26" s="1265"/>
      <c r="Y26" s="3371"/>
      <c r="Z26" s="1264"/>
      <c r="AA26" s="1264">
        <v>1</v>
      </c>
      <c r="AB26" s="1264">
        <v>1</v>
      </c>
      <c r="AC26" s="1812">
        <v>1</v>
      </c>
    </row>
    <row r="27" spans="1:29" ht="15">
      <c r="A27" s="367"/>
      <c r="B27" s="401" t="s">
        <v>1783</v>
      </c>
      <c r="C27" s="558" t="s">
        <v>3494</v>
      </c>
      <c r="D27" s="374">
        <v>100</v>
      </c>
      <c r="E27" s="558" t="s">
        <v>3494</v>
      </c>
      <c r="F27" s="374">
        <f>SUMIF(89:89,E27,90:90)-SUMIF(89:89,C27,90:90)+100</f>
        <v>100</v>
      </c>
      <c r="G27" s="558" t="s">
        <v>3494</v>
      </c>
      <c r="H27" s="374">
        <f>SUMIF(89:89,G27,90:90)-SUMIF(89:89,C27,90:90)+100</f>
        <v>100</v>
      </c>
      <c r="I27" s="558" t="s">
        <v>3492</v>
      </c>
      <c r="J27" s="374">
        <f>SUMIF(89:89,I27,90:90)-SUMIF(89:89,C27,90:90)+100</f>
        <v>100</v>
      </c>
      <c r="K27" s="538"/>
      <c r="L27" s="2489"/>
      <c r="M27" s="2484"/>
      <c r="N27" s="2484"/>
      <c r="O27" s="2484"/>
      <c r="P27" s="3369"/>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369"/>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69"/>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t="s">
        <v>3475</v>
      </c>
      <c r="D33" s="405">
        <v>100</v>
      </c>
      <c r="E33" s="1764" t="s">
        <v>3475</v>
      </c>
      <c r="F33" s="400">
        <f>SUMIF(101:101,E33,102:102)-SUMIF(101:101,C33,102:102)+100</f>
        <v>100</v>
      </c>
      <c r="G33" s="1764" t="s">
        <v>3475</v>
      </c>
      <c r="H33" s="374">
        <f>SUMIF(101:101,G33,102:102)-SUMIF(101:101,C33,102:102)+100</f>
        <v>100</v>
      </c>
      <c r="I33" s="1764" t="s">
        <v>3475</v>
      </c>
      <c r="J33" s="405">
        <f>SUMIF(101:101,I33,102:102)-SUMIF(101:101,C33,102:102)+100</f>
        <v>100</v>
      </c>
      <c r="K33" s="538">
        <v>2</v>
      </c>
      <c r="L33" s="2489"/>
      <c r="M33" s="2484"/>
      <c r="N33" s="2484"/>
      <c r="O33" s="2484"/>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170.67</v>
      </c>
      <c r="D34" s="119">
        <v>100</v>
      </c>
      <c r="E34" s="369">
        <f>售价案例!P6</f>
        <v>343.61</v>
      </c>
      <c r="F34" s="364">
        <f>LOOKUP(E34,104:104,105:105)-LOOKUP(C34,104:104,105:105)+100</f>
        <v>99</v>
      </c>
      <c r="G34" s="368">
        <f>售价案例!P39</f>
        <v>370</v>
      </c>
      <c r="H34" s="119">
        <f>LOOKUP(G34,104:104,105:105)-LOOKUP(C34,104:104,105:105)+100</f>
        <v>99</v>
      </c>
      <c r="I34" s="368">
        <f>售价案例!P73</f>
        <v>180</v>
      </c>
      <c r="J34" s="119">
        <f>LOOKUP(I34,104:104,105:105)-LOOKUP(C34,104:104,105:105)+100</f>
        <v>100</v>
      </c>
      <c r="K34" s="539"/>
      <c r="L34" s="2488"/>
      <c r="M34" s="2490"/>
      <c r="N34" s="2490"/>
      <c r="O34" s="2490"/>
      <c r="P34" s="3373"/>
      <c r="Q34" s="531" t="str">
        <f t="shared" si="11"/>
        <v>项目建筑规模</v>
      </c>
      <c r="R34" s="669" t="s">
        <v>14</v>
      </c>
      <c r="S34" s="670">
        <f t="shared" si="12"/>
        <v>99</v>
      </c>
      <c r="T34" s="669" t="s">
        <v>14</v>
      </c>
      <c r="U34" s="670">
        <f t="shared" si="13"/>
        <v>99</v>
      </c>
      <c r="V34" s="669" t="s">
        <v>14</v>
      </c>
      <c r="W34" s="670">
        <f t="shared" si="14"/>
        <v>100</v>
      </c>
      <c r="X34" s="671"/>
      <c r="Y34" s="3375"/>
      <c r="Z34" s="672" t="str">
        <f t="shared" si="15"/>
        <v>项目建筑规模</v>
      </c>
      <c r="AA34" s="1264">
        <f t="shared" si="3"/>
        <v>1.0101010101010102</v>
      </c>
      <c r="AB34" s="1264">
        <f t="shared" si="4"/>
        <v>1.0101010101010102</v>
      </c>
      <c r="AC34" s="1812">
        <f t="shared" si="5"/>
        <v>1</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89"/>
      <c r="M35" s="2484"/>
      <c r="N35" s="2484"/>
      <c r="O35" s="2484"/>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89"/>
      <c r="M37" s="2484"/>
      <c r="N37" s="2484"/>
      <c r="O37" s="2484"/>
      <c r="P37" s="3373"/>
      <c r="Q37" s="1263" t="str">
        <f t="shared" si="11"/>
        <v>成新度</v>
      </c>
      <c r="R37" s="667" t="s">
        <v>14</v>
      </c>
      <c r="S37" s="668">
        <f t="shared" si="12"/>
        <v>100</v>
      </c>
      <c r="T37" s="667" t="s">
        <v>14</v>
      </c>
      <c r="U37" s="668">
        <f t="shared" si="13"/>
        <v>100</v>
      </c>
      <c r="V37" s="667" t="s">
        <v>14</v>
      </c>
      <c r="W37" s="668">
        <f t="shared" si="14"/>
        <v>100</v>
      </c>
      <c r="X37" s="1265"/>
      <c r="Y37" s="3375"/>
      <c r="Z37" s="1264" t="str">
        <f t="shared" si="15"/>
        <v>成新度</v>
      </c>
      <c r="AA37" s="1264">
        <f t="shared" si="3"/>
        <v>1</v>
      </c>
      <c r="AB37" s="1264">
        <f t="shared" si="4"/>
        <v>1</v>
      </c>
      <c r="AC37" s="1812">
        <f t="shared" si="5"/>
        <v>1</v>
      </c>
    </row>
    <row r="38" spans="1:29" s="102" customFormat="1" ht="15">
      <c r="A38" s="410"/>
      <c r="B38" s="364" t="s">
        <v>1818</v>
      </c>
      <c r="C38" s="399" t="s">
        <v>3482</v>
      </c>
      <c r="D38" s="119">
        <v>100</v>
      </c>
      <c r="E38" s="399" t="s">
        <v>3482</v>
      </c>
      <c r="F38" s="400">
        <f>SUMIF(113:113,E38,114:114)-SUMIF(113:113,C38,114:114)+100</f>
        <v>100</v>
      </c>
      <c r="G38" s="399" t="s">
        <v>3482</v>
      </c>
      <c r="H38" s="374">
        <f>SUMIF(113:113,G38,114:114)-SUMIF(113:113,C38,114:114)+100</f>
        <v>100</v>
      </c>
      <c r="I38" s="399" t="s">
        <v>3482</v>
      </c>
      <c r="J38" s="374">
        <f>SUMIF(113:113,I38,114:114)-SUMIF(113:113,C38,114:114)+100</f>
        <v>100</v>
      </c>
      <c r="K38" s="538">
        <v>2</v>
      </c>
      <c r="L38" s="2485"/>
      <c r="M38" s="2437"/>
      <c r="N38" s="2437"/>
      <c r="O38" s="2437"/>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89"/>
      <c r="M39" s="2484"/>
      <c r="N39" s="2484"/>
      <c r="O39" s="2484"/>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t="s">
        <v>3537</v>
      </c>
      <c r="D40" s="374">
        <v>100</v>
      </c>
      <c r="E40" s="399" t="s">
        <v>3537</v>
      </c>
      <c r="F40" s="400">
        <f>SUMIF(117:117,E40,118:118)-SUMIF(117:117,C40,118:118)+100</f>
        <v>100</v>
      </c>
      <c r="G40" s="399" t="s">
        <v>3537</v>
      </c>
      <c r="H40" s="374">
        <f>SUMIF(117:117,G40,118:118)-SUMIF(117:117,C40,118:118)+100</f>
        <v>100</v>
      </c>
      <c r="I40" s="399" t="s">
        <v>3537</v>
      </c>
      <c r="J40" s="374">
        <f>SUMIF(117:117,I40,118:118)-SUMIF(117:117,C40,118:118)+100</f>
        <v>100</v>
      </c>
      <c r="K40" s="538">
        <v>1</v>
      </c>
      <c r="L40" s="2489"/>
      <c r="M40" s="2484"/>
      <c r="N40" s="2484"/>
      <c r="O40" s="2484"/>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9"/>
      <c r="M41" s="2484"/>
      <c r="N41" s="2484"/>
      <c r="O41" s="2484"/>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t="s">
        <v>3515</v>
      </c>
      <c r="D43" s="374">
        <v>100</v>
      </c>
      <c r="E43" s="399" t="s">
        <v>3516</v>
      </c>
      <c r="F43" s="400">
        <f>SUMIF(123:123,E43,124:124)-SUMIF(123:123,C43,124:124)+100</f>
        <v>98</v>
      </c>
      <c r="G43" s="399" t="s">
        <v>3516</v>
      </c>
      <c r="H43" s="374">
        <f>SUMIF(123:123,G43,124:124)-SUMIF(123:123,C43,124:124)+100</f>
        <v>98</v>
      </c>
      <c r="I43" s="399" t="s">
        <v>3517</v>
      </c>
      <c r="J43" s="374">
        <f>SUMIF(123:123,I43,124:124)-SUMIF(123:123,C43,124:124)+100</f>
        <v>102</v>
      </c>
      <c r="K43" s="538">
        <v>2</v>
      </c>
      <c r="L43" s="2489"/>
      <c r="M43" s="2484"/>
      <c r="N43" s="2484"/>
      <c r="O43" s="2484"/>
      <c r="P43" s="3373"/>
      <c r="Q43" s="1263" t="str">
        <f t="shared" si="11"/>
        <v>内部装修</v>
      </c>
      <c r="R43" s="667" t="s">
        <v>14</v>
      </c>
      <c r="S43" s="668">
        <f t="shared" si="12"/>
        <v>98</v>
      </c>
      <c r="T43" s="667" t="s">
        <v>14</v>
      </c>
      <c r="U43" s="668">
        <f t="shared" si="13"/>
        <v>98</v>
      </c>
      <c r="V43" s="667" t="s">
        <v>14</v>
      </c>
      <c r="W43" s="668">
        <f t="shared" si="14"/>
        <v>102</v>
      </c>
      <c r="X43" s="1265"/>
      <c r="Y43" s="3375"/>
      <c r="Z43" s="1264" t="str">
        <f t="shared" si="15"/>
        <v>内部装修</v>
      </c>
      <c r="AA43" s="1264">
        <f t="shared" si="3"/>
        <v>1.0204081632653061</v>
      </c>
      <c r="AB43" s="1264">
        <f t="shared" si="4"/>
        <v>1.0204081632653061</v>
      </c>
      <c r="AC43" s="1812">
        <f t="shared" si="5"/>
        <v>0.98039215686274506</v>
      </c>
    </row>
    <row r="44" spans="1:29" ht="28.8">
      <c r="A44" s="409"/>
      <c r="B44" s="364" t="s">
        <v>1707</v>
      </c>
      <c r="C44" s="399" t="s">
        <v>3461</v>
      </c>
      <c r="D44" s="374">
        <v>100</v>
      </c>
      <c r="E44" s="399" t="s">
        <v>3461</v>
      </c>
      <c r="F44" s="400">
        <f>SUMIF(125:125,E44,126:126)-SUMIF(125:125,C44,126:126)+100</f>
        <v>100</v>
      </c>
      <c r="G44" s="399" t="s">
        <v>3461</v>
      </c>
      <c r="H44" s="374">
        <f>SUMIF(125:125,G44,126:126)-SUMIF(125:125,C44,126:126)+100</f>
        <v>100</v>
      </c>
      <c r="I44" s="399" t="s">
        <v>3461</v>
      </c>
      <c r="J44" s="374">
        <f>SUMIF(125:125,I44,126:126)-SUMIF(125:125,C44,126:126)+100</f>
        <v>100</v>
      </c>
      <c r="K44" s="538">
        <v>2</v>
      </c>
      <c r="L44" s="2489"/>
      <c r="M44" s="2484"/>
      <c r="N44" s="2484"/>
      <c r="O44" s="2484"/>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4.4">
      <c r="A48" s="416" t="s">
        <v>1708</v>
      </c>
      <c r="B48" s="417"/>
      <c r="C48" s="1081" t="s">
        <v>0</v>
      </c>
      <c r="D48" s="418"/>
      <c r="E48" s="419">
        <f>售价案例!P7</f>
        <v>24010</v>
      </c>
      <c r="F48" s="420"/>
      <c r="G48" s="421">
        <f>售价案例!P40</f>
        <v>23000</v>
      </c>
      <c r="H48" s="422"/>
      <c r="I48" s="419">
        <f>售价案例!P74</f>
        <v>23000</v>
      </c>
      <c r="J48" s="422"/>
      <c r="K48" s="674"/>
      <c r="L48" s="2491"/>
      <c r="M48" s="2484"/>
      <c r="N48" s="2484"/>
      <c r="O48" s="2484"/>
      <c r="P48" s="3362" t="str">
        <f>A48</f>
        <v>成交单价（元/平方米）</v>
      </c>
      <c r="Q48" s="3363"/>
      <c r="R48" s="3364">
        <f>E48</f>
        <v>24010</v>
      </c>
      <c r="S48" s="3364"/>
      <c r="T48" s="3364">
        <f>G48</f>
        <v>23000</v>
      </c>
      <c r="U48" s="3364"/>
      <c r="V48" s="3364">
        <f>I48</f>
        <v>23000</v>
      </c>
      <c r="W48" s="3364"/>
      <c r="X48" s="385"/>
      <c r="Y48" s="673"/>
      <c r="Z48" s="385"/>
      <c r="AA48" s="385"/>
      <c r="AB48" s="385"/>
      <c r="AC48" s="555"/>
    </row>
    <row r="49" spans="1:29" ht="15" thickBot="1">
      <c r="A49" s="423" t="s">
        <v>1793</v>
      </c>
      <c r="B49" s="424"/>
      <c r="C49" s="1082">
        <f>R50</f>
        <v>23204</v>
      </c>
      <c r="D49" s="2140" t="s">
        <v>2133</v>
      </c>
      <c r="E49" s="1083">
        <f>R49</f>
        <v>24262</v>
      </c>
      <c r="F49" s="2141"/>
      <c r="G49" s="1082">
        <f>T49</f>
        <v>23242</v>
      </c>
      <c r="H49" s="2141"/>
      <c r="I49" s="1083">
        <f>V49</f>
        <v>22107</v>
      </c>
      <c r="J49" s="2141"/>
      <c r="K49" s="2143">
        <f>F49+H49+J49</f>
        <v>0</v>
      </c>
      <c r="L49" s="2491"/>
      <c r="M49" s="2484"/>
      <c r="N49" s="2484"/>
      <c r="O49" s="2484"/>
      <c r="P49" s="3362" t="str">
        <f>A49</f>
        <v>比较价值（元/平方米）</v>
      </c>
      <c r="Q49" s="3363"/>
      <c r="R49" s="3364">
        <f>IF(F1="售价",ROUND(PRODUCT(R48,AA7:AA47),0),ROUND(PRODUCT(R48,AA7:AA47),1))</f>
        <v>24262</v>
      </c>
      <c r="S49" s="3364"/>
      <c r="T49" s="3364">
        <f>IF(F1="售价",ROUND(PRODUCT(T48,AB7:AB47),0),ROUND(PRODUCT(T48,AB7:AB47),1))</f>
        <v>23242</v>
      </c>
      <c r="U49" s="3364"/>
      <c r="V49" s="3364">
        <f>IF(F1="售价",ROUND(PRODUCT(V48,AC7:AC47),0),ROUND(PRODUCT(V48,AC7:AC47),1))</f>
        <v>22107</v>
      </c>
      <c r="W49" s="3364"/>
      <c r="X49" s="385"/>
      <c r="Y49" s="385"/>
      <c r="Z49" s="385"/>
      <c r="AA49" s="385"/>
      <c r="AB49" s="385"/>
      <c r="AC49" s="555"/>
    </row>
    <row r="50" spans="1:29" ht="15" thickBot="1">
      <c r="A50" s="427" t="s">
        <v>1794</v>
      </c>
      <c r="B50" s="428"/>
      <c r="C50" s="351">
        <f>R50</f>
        <v>23204</v>
      </c>
      <c r="D50" s="351"/>
      <c r="E50" s="351"/>
      <c r="F50" s="351"/>
      <c r="G50" s="351"/>
      <c r="H50" s="351"/>
      <c r="I50" s="351"/>
      <c r="J50" s="429"/>
      <c r="K50" s="675"/>
      <c r="L50" s="2491"/>
      <c r="M50" s="2484"/>
      <c r="N50" s="2484"/>
      <c r="O50" s="2484"/>
      <c r="P50" s="3365" t="str">
        <f>A50</f>
        <v>估价对象XX用房的比较价值（楼面单价，元/平方米）</v>
      </c>
      <c r="Q50" s="3366"/>
      <c r="R50" s="3367">
        <f>IF(F1="售价",ROUND(IF(D49="简单平均",AVERAGE(R49:V49),R49*F49+T49*H49+V49*J49),0),ROUND(IF(D49="简单平均",AVERAGE(R49:V49),R49*F49+T49*H49+V49*J49),1))</f>
        <v>23204</v>
      </c>
      <c r="S50" s="3367"/>
      <c r="T50" s="3367"/>
      <c r="U50" s="3367"/>
      <c r="V50" s="3367"/>
      <c r="W50" s="3367"/>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1.0495626822157433E-2</v>
      </c>
      <c r="F53" s="435" t="str">
        <f>IF(OR(E53&gt;=0.3,E53&lt;=-0.3),"超过30%","")</f>
        <v/>
      </c>
      <c r="G53" s="434">
        <f>IF(G48&lt;G49,G49/G48-1,G48/G49-1)</f>
        <v>1.052173913043486E-2</v>
      </c>
      <c r="H53" s="435" t="str">
        <f>IF(OR(G53&gt;=0.3,G53&lt;=-0.3),"超过30%","")</f>
        <v/>
      </c>
      <c r="I53" s="434">
        <f>IF(I48&lt;I49,I49/I48-1,I48/I49-1)</f>
        <v>4.0394445198353557E-2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4.3886068324584748E-2</v>
      </c>
      <c r="F54" s="435" t="str">
        <f>IF(OR(E54&gt;=0.2,E54&lt;=-0.2),"超过20%","")</f>
        <v/>
      </c>
      <c r="G54" s="434">
        <f>IF(G49&lt;I49,I49/G49-1,G49/I49-1)</f>
        <v>5.1341204143483976E-2</v>
      </c>
      <c r="H54" s="435" t="str">
        <f>IF(OR(G54&gt;=0.2,G54&lt;=-0.2),"超过20%","")</f>
        <v/>
      </c>
      <c r="I54" s="434">
        <f>IF(I49&lt;E49,E49/I49-1,I49/E49-1)</f>
        <v>9.7480436060976228E-2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4.391304347826086E-2</v>
      </c>
      <c r="F55" s="435" t="str">
        <f>IF(OR(E55&gt;=0.3,E55&lt;=-0.3),"超过30%","")</f>
        <v/>
      </c>
      <c r="G55" s="434">
        <f>IF(G48&lt;I48,I48/G48-1,G48/I48-1)</f>
        <v>0</v>
      </c>
      <c r="H55" s="435" t="str">
        <f>IF(OR(G55&gt;=0.3,G55&lt;=-0.3),"超过30%","")</f>
        <v/>
      </c>
      <c r="I55" s="434">
        <f>IF(I48&lt;E48,E48/I48-1,I48/E48-1)</f>
        <v>4.391304347826086E-2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68" t="s">
        <v>3474</v>
      </c>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v>102</v>
      </c>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3502</v>
      </c>
      <c r="D66" s="513" t="s">
        <v>3503</v>
      </c>
      <c r="E66" s="513" t="s">
        <v>3504</v>
      </c>
      <c r="F66" s="513" t="s">
        <v>3505</v>
      </c>
      <c r="G66" s="513" t="s">
        <v>3506</v>
      </c>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99</v>
      </c>
      <c r="E84" s="475">
        <f>D84-$K21</f>
        <v>98</v>
      </c>
      <c r="F84" s="475">
        <f>E84-$K21</f>
        <v>97</v>
      </c>
      <c r="G84" s="475">
        <f>F84-$K21</f>
        <v>96</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3172" t="s">
        <v>3507</v>
      </c>
      <c r="D87" s="3167" t="s">
        <v>3509</v>
      </c>
      <c r="E87" s="3167" t="s">
        <v>3510</v>
      </c>
      <c r="F87" s="3167" t="s">
        <v>3511</v>
      </c>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70"/>
      <c r="B89" s="469" t="str">
        <f>B27</f>
        <v>楼层</v>
      </c>
      <c r="C89" s="3167" t="s">
        <v>3470</v>
      </c>
      <c r="D89" s="3167" t="s">
        <v>3471</v>
      </c>
      <c r="E89" s="3167" t="s">
        <v>3472</v>
      </c>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69" t="s">
        <v>3476</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28.2" thickTop="1">
      <c r="A103" s="367"/>
      <c r="B103" s="469" t="s">
        <v>1737</v>
      </c>
      <c r="C103" s="509" t="str">
        <f>C104&amp;"(含)"&amp;"-"&amp;D104</f>
        <v>0(含)-300</v>
      </c>
      <c r="D103" s="509" t="str">
        <f t="shared" ref="D103:L103" si="24">D104&amp;"(含)"&amp;"-"&amp;E104</f>
        <v>300(含)-500</v>
      </c>
      <c r="E103" s="509" t="str">
        <f t="shared" si="24"/>
        <v>500(含)-1000</v>
      </c>
      <c r="F103" s="509" t="str">
        <f t="shared" si="24"/>
        <v>1000(含)-2000</v>
      </c>
      <c r="G103" s="509" t="str">
        <f t="shared" si="24"/>
        <v>2000(含)-3000</v>
      </c>
      <c r="H103" s="509" t="str">
        <f t="shared" si="24"/>
        <v>3000(含)-4000</v>
      </c>
      <c r="I103" s="509" t="str">
        <f t="shared" si="24"/>
        <v>4000(含)-</v>
      </c>
      <c r="J103" s="509" t="str">
        <f t="shared" si="24"/>
        <v>(含)-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300</v>
      </c>
      <c r="E104" s="6">
        <v>500</v>
      </c>
      <c r="F104" s="6">
        <v>1000</v>
      </c>
      <c r="G104" s="6">
        <v>2000</v>
      </c>
      <c r="H104" s="6">
        <v>3000</v>
      </c>
      <c r="I104" s="6">
        <v>4000</v>
      </c>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67" t="s">
        <v>3477</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67" t="s">
        <v>3478</v>
      </c>
      <c r="D108" s="3167" t="s">
        <v>3479</v>
      </c>
      <c r="E108" s="3167" t="s">
        <v>3480</v>
      </c>
      <c r="F108" s="3170" t="s">
        <v>3481</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3167" t="s">
        <v>3483</v>
      </c>
      <c r="D113" s="3167" t="s">
        <v>3484</v>
      </c>
      <c r="E113" s="3167" t="s">
        <v>3485</v>
      </c>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67" t="s">
        <v>3486</v>
      </c>
      <c r="D115" s="3167" t="s">
        <v>3487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67" t="s">
        <v>3489</v>
      </c>
      <c r="D117" s="3167" t="s">
        <v>3490</v>
      </c>
      <c r="E117" s="3167" t="s">
        <v>3491</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67" t="s">
        <v>3478</v>
      </c>
      <c r="D123" s="3167" t="s">
        <v>3479</v>
      </c>
      <c r="E123" s="3167" t="s">
        <v>3480</v>
      </c>
      <c r="F123" s="3170" t="s">
        <v>3481</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3539</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423.8614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24835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2583624</v>
      </c>
      <c r="D5" s="203" t="s">
        <v>1469</v>
      </c>
      <c r="E5" s="204" t="s">
        <v>1470</v>
      </c>
      <c r="F5" s="204" t="s">
        <v>1471</v>
      </c>
      <c r="G5" s="205"/>
    </row>
    <row r="6" spans="1:8" s="206" customFormat="1" ht="13.5" customHeight="1">
      <c r="A6" s="732" t="s">
        <v>1472</v>
      </c>
      <c r="B6" s="207" t="s">
        <v>1473</v>
      </c>
      <c r="C6" s="208">
        <f>ROUND(基准地价修正!D33*基准地价修正!C33,0)</f>
        <v>2474032</v>
      </c>
      <c r="D6" s="209"/>
      <c r="E6" s="210"/>
      <c r="F6" s="210"/>
      <c r="G6" s="211"/>
    </row>
    <row r="7" spans="1:8" s="206" customFormat="1" ht="13.5" customHeight="1">
      <c r="A7" s="732" t="s">
        <v>1474</v>
      </c>
      <c r="B7" s="207" t="s">
        <v>1475</v>
      </c>
      <c r="C7" s="212">
        <f>ROUND(C6*F7,0)</f>
        <v>75458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34134</v>
      </c>
      <c r="D8" s="214"/>
      <c r="E8" s="212"/>
      <c r="F8" s="213"/>
      <c r="G8" s="1714" t="s">
        <v>3463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34134</v>
      </c>
      <c r="D10" s="795">
        <f ca="1">IF(B1="",'数据-汇总表'!E6,IF(INDIRECT("'数据-取费表'!c"&amp;$G$1)="住宅",INDIRECT("'数据-取费表'!s"&amp;$G$1),INDIRECT("'数据-取费表'!k"&amp;$G$1)+INDIRECT("'数据-取费表'!s"&amp;$G$1)))</f>
        <v>170.67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170.67</v>
      </c>
      <c r="E19" s="203">
        <f>'数据-取费表'!B31</f>
        <v>200</v>
      </c>
      <c r="F19" s="223"/>
      <c r="G19" s="1714" t="s">
        <v>3464</v>
      </c>
    </row>
    <row r="20" spans="1:7" s="206" customFormat="1" ht="13.5" customHeight="1">
      <c r="A20" s="247" t="s">
        <v>1574</v>
      </c>
      <c r="B20" s="202" t="s">
        <v>1575</v>
      </c>
      <c r="C20" s="224">
        <f ca="1">ROUND((C5+C19)*F20,0)</f>
        <v>51672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164270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162668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395294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395294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3461012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863590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768015</v>
      </c>
      <c r="D34" s="209"/>
      <c r="E34" s="212"/>
      <c r="F34" s="249"/>
      <c r="G34" s="211"/>
    </row>
    <row r="35" spans="1:7" ht="13.5" customHeight="1">
      <c r="A35" s="734" t="s">
        <v>351</v>
      </c>
      <c r="B35" s="207" t="s">
        <v>1527</v>
      </c>
      <c r="C35" s="212">
        <f ca="1">ROUND(C34*F35,0)</f>
        <v>46081</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34134</v>
      </c>
      <c r="D37" s="209">
        <f ca="1">D19</f>
        <v>170.67</v>
      </c>
      <c r="E37" s="241">
        <f>'数据-取费表'!B35</f>
        <v>200</v>
      </c>
      <c r="F37" s="251"/>
      <c r="G37" s="253"/>
    </row>
    <row r="38" spans="1:7" ht="13.5" customHeight="1">
      <c r="A38" s="734" t="s">
        <v>354</v>
      </c>
      <c r="B38" s="207" t="s">
        <v>1533</v>
      </c>
      <c r="C38" s="212">
        <f ca="1">ROUND(C34*F38,0)</f>
        <v>15360</v>
      </c>
      <c r="D38" s="212"/>
      <c r="E38" s="212"/>
      <c r="F38" s="251">
        <f>'数据-取费表'!B36</f>
        <v>0.02</v>
      </c>
      <c r="G38" s="211" t="s">
        <v>1528</v>
      </c>
    </row>
    <row r="39" spans="1:7" s="206" customFormat="1" ht="13.5" customHeight="1">
      <c r="A39" s="247" t="s">
        <v>1534</v>
      </c>
      <c r="B39" s="202" t="s">
        <v>1535</v>
      </c>
      <c r="C39" s="224">
        <f ca="1">ROUND(C33*F20,0)</f>
        <v>17272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27306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26771</v>
      </c>
      <c r="D42" s="230"/>
      <c r="E42" s="230"/>
      <c r="F42" s="231"/>
      <c r="G42" s="3265" t="s">
        <v>1591</v>
      </c>
    </row>
    <row r="43" spans="1:7" ht="13.5" customHeight="1">
      <c r="A43" s="734" t="s">
        <v>347</v>
      </c>
      <c r="B43" s="207" t="s">
        <v>1545</v>
      </c>
      <c r="C43" s="230">
        <f ca="1">ROUND(IF('数据-取费表'!B22&lt;=1,C39*F22*'数据-取费表'!B20/2,C39*(POWER((1+F22),'数据-取费表'!B20/2)-1)),0)</f>
        <v>535</v>
      </c>
      <c r="D43" s="230"/>
      <c r="E43" s="230"/>
      <c r="F43" s="231"/>
      <c r="G43" s="3266"/>
    </row>
    <row r="44" spans="1:7" ht="13.5" customHeight="1">
      <c r="A44" s="734" t="s">
        <v>348</v>
      </c>
      <c r="B44" s="207" t="s">
        <v>1546</v>
      </c>
      <c r="C44" s="230">
        <f ca="1">ROUND(IF('数据-取费表'!B22&lt;=1,C40*F22*'数据-取费表'!B20/2,C40*(POWER((1+F22),'数据-取费表'!B20/2)-1)),4)</f>
        <v>5.9999999999999995E-4</v>
      </c>
      <c r="D44" s="230"/>
      <c r="E44" s="230"/>
      <c r="F44" s="231"/>
      <c r="G44" s="3267"/>
    </row>
    <row r="45" spans="1:7" s="206" customFormat="1" ht="13.5" customHeight="1">
      <c r="A45" s="247" t="s">
        <v>1547</v>
      </c>
      <c r="B45" s="236" t="s">
        <v>1513</v>
      </c>
      <c r="C45" s="237">
        <f ca="1">C46</f>
        <v>132129</v>
      </c>
      <c r="D45" s="227">
        <f ca="1">C47</f>
        <v>3.0000000000000001E-3</v>
      </c>
      <c r="E45" s="228" t="s">
        <v>1539</v>
      </c>
      <c r="F45" s="238">
        <f ca="1">F27</f>
        <v>0.15</v>
      </c>
      <c r="G45" s="239" t="s">
        <v>1548</v>
      </c>
    </row>
    <row r="46" spans="1:7" s="206" customFormat="1" ht="13.5" customHeight="1">
      <c r="A46" s="734" t="s">
        <v>346</v>
      </c>
      <c r="B46" s="240" t="s">
        <v>1549</v>
      </c>
      <c r="C46" s="241">
        <f ca="1">ROUND((C33+C39)*F27,0)</f>
        <v>132129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1126960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777602</v>
      </c>
      <c r="D51" s="224"/>
      <c r="E51" s="224"/>
      <c r="F51" s="256"/>
      <c r="G51" s="226" t="s">
        <v>1560</v>
      </c>
    </row>
    <row r="52" spans="1:7" s="200" customFormat="1" ht="16.8" thickBot="1">
      <c r="A52" s="257" t="s">
        <v>1561</v>
      </c>
      <c r="B52" s="258"/>
      <c r="C52" s="259">
        <f ca="1">C31+C51</f>
        <v>4238614</v>
      </c>
      <c r="D52" s="258"/>
      <c r="E52" s="258"/>
      <c r="F52" s="258"/>
      <c r="G52" s="260"/>
    </row>
    <row r="55" spans="1:7" ht="15">
      <c r="B55" s="262" t="s">
        <v>1562</v>
      </c>
      <c r="C55" s="263"/>
    </row>
    <row r="56" spans="1:7">
      <c r="B56" s="265" t="s">
        <v>802</v>
      </c>
      <c r="C56" s="267">
        <f ca="1">1-C57</f>
        <v>0.81699999999999995</v>
      </c>
    </row>
    <row r="57" spans="1:7">
      <c r="B57" s="265" t="s">
        <v>803</v>
      </c>
      <c r="C57" s="266">
        <f ca="1">ROUND(C51/C52,3)</f>
        <v>0.183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-3</v>
      </c>
      <c r="C2" s="268" t="s">
        <v>1595</v>
      </c>
      <c r="D2" s="268"/>
      <c r="E2" s="2564"/>
      <c r="F2" s="2564"/>
      <c r="G2" s="2564"/>
      <c r="H2" s="2564"/>
      <c r="I2" s="2564"/>
      <c r="J2" s="2564"/>
      <c r="K2" s="2564"/>
    </row>
    <row r="3" spans="1:33" ht="18" customHeight="1" thickBot="1">
      <c r="A3" s="195" t="s">
        <v>1464</v>
      </c>
      <c r="B3" s="196">
        <f ca="1">ROUND(B2*10000/IF(C1="",'数据-汇总表'!E3,INDIRECT("'数据-取费表'!K"&amp;$K$1)),0)</f>
        <v>-176</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170.67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170.67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170.67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5" t="s">
        <v>694</v>
      </c>
      <c r="C6" s="1011">
        <f ca="1">ROUND(F6*F8*F7*(1-F9)/10000,0)</f>
        <v>0</v>
      </c>
      <c r="D6" s="147" t="s">
        <v>2104</v>
      </c>
      <c r="E6" s="294" t="s">
        <v>696</v>
      </c>
      <c r="F6" s="295">
        <f ca="1">INDIRECT("'数据-取费表'!u"&amp;$G$1)</f>
        <v>0</v>
      </c>
      <c r="G6" s="1292"/>
      <c r="H6" s="1006" t="s">
        <v>398</v>
      </c>
      <c r="I6" s="3415" t="s">
        <v>694</v>
      </c>
      <c r="J6" s="293">
        <f ca="1">ROUND(M6*M8*M7*(1-M9)/10000,0)</f>
        <v>0</v>
      </c>
      <c r="K6" s="147" t="s">
        <v>2103</v>
      </c>
      <c r="L6" s="294" t="s">
        <v>696</v>
      </c>
      <c r="M6" s="295">
        <f ca="1">INDIRECT("'数据-取费表'!z"&amp;$G$1)</f>
        <v>0</v>
      </c>
    </row>
    <row r="7" spans="1:37" ht="18" customHeight="1">
      <c r="A7" s="1010"/>
      <c r="B7" s="3416"/>
      <c r="C7" s="1012"/>
      <c r="D7" s="299"/>
      <c r="E7" s="1013" t="s">
        <v>697</v>
      </c>
      <c r="F7" s="295">
        <f ca="1">IF(INDIRECT("'数据-取费表'!ah"&amp;$G$1)="",INDIRECT("'数据-取费表'!k"&amp;$G$1),INDIRECT("'数据-取费表'!ah"&amp;$G$1))</f>
        <v>0</v>
      </c>
      <c r="G7" s="1292"/>
      <c r="H7" s="296"/>
      <c r="I7" s="3416"/>
      <c r="J7" s="298"/>
      <c r="K7" s="299"/>
      <c r="L7" s="294" t="s">
        <v>697</v>
      </c>
      <c r="M7" s="295">
        <f ca="1">F7</f>
        <v>0</v>
      </c>
    </row>
    <row r="8" spans="1:37" ht="18" customHeight="1">
      <c r="A8" s="296"/>
      <c r="B8" s="3416"/>
      <c r="C8" s="298"/>
      <c r="D8" s="299"/>
      <c r="E8" s="294" t="s">
        <v>698</v>
      </c>
      <c r="F8" s="295">
        <f ca="1">INDIRECT("'数据-取费表'!ai"&amp;$G$1)</f>
        <v>0</v>
      </c>
      <c r="G8" s="1292"/>
      <c r="H8" s="296"/>
      <c r="I8" s="3416"/>
      <c r="J8" s="298"/>
      <c r="K8" s="299"/>
      <c r="L8" s="294" t="s">
        <v>698</v>
      </c>
      <c r="M8" s="295">
        <f ca="1">INDIRECT("'数据-取费表'!ai"&amp;$G$1)</f>
        <v>0</v>
      </c>
    </row>
    <row r="9" spans="1:37" ht="18" customHeight="1">
      <c r="A9" s="296"/>
      <c r="B9" s="3417"/>
      <c r="C9" s="298"/>
      <c r="D9" s="299"/>
      <c r="E9" s="294" t="s">
        <v>699</v>
      </c>
      <c r="F9" s="304">
        <f ca="1">INDIRECT("'数据-取费表'!w"&amp;$G$1)</f>
        <v>0</v>
      </c>
      <c r="G9" s="1292"/>
      <c r="H9" s="296"/>
      <c r="I9" s="341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c r="G10" s="1292"/>
      <c r="H10" s="1006" t="s">
        <v>402</v>
      </c>
      <c r="I10" s="1274" t="s">
        <v>700</v>
      </c>
      <c r="J10" s="293">
        <f ca="1">ROUND(IF(M10="押一",J6/12*M11,IF(M10="押二",J6/12*2*M11,IF(M10="押三",J6/12*3*M11,J11*M11))),0)</f>
        <v>0</v>
      </c>
      <c r="K10" s="150" t="s">
        <v>2111</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6" t="s">
        <v>2301</v>
      </c>
      <c r="I31" s="1305"/>
      <c r="J31" s="1306"/>
      <c r="K31" s="121"/>
      <c r="L31" s="2468"/>
      <c r="M31" s="2469"/>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12</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2111</v>
      </c>
      <c r="E53" s="305" t="s">
        <v>701</v>
      </c>
      <c r="F53" s="1053"/>
      <c r="I53" s="1344" t="s">
        <v>836</v>
      </c>
      <c r="J53" s="2005">
        <f ca="1">IF(M47="住宅",IF(D1="——",MAX(J51,L48),MAX(J51,L48-'数据-取费表'!B24)),IF(D1="——",MIN(J51,L48),MIN(J51,L48-'数据-取费表'!B24)))</f>
        <v>0</v>
      </c>
      <c r="K53" s="3413" t="s">
        <v>837</v>
      </c>
      <c r="L53" s="341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M20" sqref="M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170.67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247</v>
      </c>
      <c r="C2" s="1846" t="s">
        <v>1935</v>
      </c>
      <c r="D2" s="162" t="s">
        <v>1936</v>
      </c>
      <c r="E2" s="3117"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25741</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14472</v>
      </c>
      <c r="C3" s="1846" t="s">
        <v>1941</v>
      </c>
      <c r="D3" s="162" t="s">
        <v>1942</v>
      </c>
      <c r="E3" s="3115" t="s">
        <v>3457</v>
      </c>
      <c r="F3" s="1848" t="s">
        <v>3460</v>
      </c>
      <c r="G3" s="708">
        <f>IF(F3="宗地容积率",'数据-汇总表'!I4,IF(F3="估价对象容积率",'数据-汇总表'!I6,'数据-汇总表'!I7))</f>
        <v>7.23</v>
      </c>
      <c r="H3" s="162" t="s">
        <v>1943</v>
      </c>
      <c r="I3" s="729"/>
      <c r="J3" s="1842" t="s">
        <v>1944</v>
      </c>
      <c r="K3" s="1056"/>
      <c r="L3" s="1847" t="s">
        <v>1945</v>
      </c>
      <c r="M3" s="811">
        <f>SUMPRODUCT((区片价!B30:B54=I2)*(区片价!C3:G3=E2)*(区片价!C30:G54))</f>
        <v>22350</v>
      </c>
      <c r="N3" s="813">
        <f>SUMPRODUCT((因素修正幅度!B30:B54=I2)*(因素修正幅度!C3:G3=E2)*(因素修正幅度!C30:G54))</f>
        <v>9.6000000000000002E-2</v>
      </c>
      <c r="O3" s="1056"/>
      <c r="P3" s="1056"/>
      <c r="Q3" s="1056"/>
      <c r="R3" s="1129">
        <v>2</v>
      </c>
      <c r="S3" s="3060">
        <f>ROUND(SUMPRODUCT((B106:B110=R3)*(C105:N105=G2)*(C106:N110)),4)</f>
        <v>1.1838</v>
      </c>
      <c r="T3" s="3060">
        <f t="shared" si="0"/>
        <v>20289</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425"/>
      <c r="B4" s="3426"/>
      <c r="C4" s="3426"/>
      <c r="D4" s="3427"/>
      <c r="E4" s="3427"/>
      <c r="F4" s="3427"/>
      <c r="G4" s="3427"/>
      <c r="H4" s="3427"/>
      <c r="I4" s="3427"/>
      <c r="J4" s="342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17148</v>
      </c>
      <c r="U4" s="1130"/>
      <c r="V4" s="3060">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22314</v>
      </c>
      <c r="D5" s="1252">
        <f>ROUND(C6*C17+C20,0)</f>
        <v>22314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0.88239999999999996</v>
      </c>
      <c r="T5" s="3060">
        <f t="shared" si="0"/>
        <v>15124</v>
      </c>
      <c r="U5" s="1130"/>
      <c r="V5" s="3060">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22350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0.84799999999999998</v>
      </c>
      <c r="T6" s="3060">
        <f t="shared" si="0"/>
        <v>14534</v>
      </c>
      <c r="U6" s="1130"/>
      <c r="V6" s="3060">
        <f t="shared" si="1"/>
        <v>0</v>
      </c>
      <c r="W6" s="1133"/>
      <c r="X6" s="1133"/>
      <c r="Y6" s="1133"/>
      <c r="Z6" s="1133"/>
      <c r="AA6" s="1133"/>
      <c r="AB6" s="1133"/>
      <c r="AC6" s="1855"/>
      <c r="AD6" s="1856"/>
      <c r="AE6" s="1856"/>
      <c r="AF6" s="1856"/>
      <c r="AG6" s="1856"/>
      <c r="AH6" s="1856"/>
      <c r="AI6" s="1856"/>
      <c r="AJ6" s="1857"/>
    </row>
    <row r="7" spans="1:36" ht="24.6" thickBot="1">
      <c r="A7" s="3009"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三级</v>
      </c>
      <c r="Y7" s="1131" t="s">
        <v>1956</v>
      </c>
      <c r="Z7" s="1132">
        <f>G3</f>
        <v>7.23</v>
      </c>
      <c r="AA7" s="1133"/>
      <c r="AB7" s="1133"/>
      <c r="AC7" s="1134"/>
      <c r="AD7" s="1135"/>
      <c r="AE7" s="1135"/>
      <c r="AF7" s="1135"/>
      <c r="AG7" s="1135"/>
      <c r="AH7" s="1135"/>
      <c r="AI7" s="1135"/>
      <c r="AJ7" s="1136"/>
    </row>
    <row r="8" spans="1:36" ht="15">
      <c r="A8" s="3006"/>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22" t="s">
        <v>1960</v>
      </c>
      <c r="X8" s="342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24"/>
      <c r="X9" s="3061" t="s">
        <v>3263</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2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3233</v>
      </c>
      <c r="B12" s="3010" t="s">
        <v>3234</v>
      </c>
      <c r="C12" s="3011">
        <v>1</v>
      </c>
      <c r="D12" s="3012" t="s">
        <v>3235</v>
      </c>
      <c r="E12" s="3013" t="s">
        <v>3236</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3237</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3238</v>
      </c>
      <c r="G14" s="3017" t="s">
        <v>3238</v>
      </c>
      <c r="H14" s="3017" t="s">
        <v>3238</v>
      </c>
      <c r="I14" s="3017" t="s">
        <v>3238</v>
      </c>
      <c r="J14" s="3017" t="s">
        <v>3238</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3239</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3240</v>
      </c>
      <c r="B17" s="3024" t="s">
        <v>3241</v>
      </c>
      <c r="C17" s="3033">
        <f>ROUND(IF(OR(E2="工业",E2="公共服务"),1,IF(AND(E18=0,E19=0),1,IF(AND(E18=J24,E19=G19),0.8,IF(E19=0,1+E17*(-0.2),1+E17*G17*(-0.2))))),4)</f>
        <v>1</v>
      </c>
      <c r="D17" s="3025" t="s">
        <v>3242</v>
      </c>
      <c r="E17" s="3033">
        <f>ROUND(G18/I18,2)</f>
        <v>0</v>
      </c>
      <c r="F17" s="3025" t="s">
        <v>3245</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8"/>
      <c r="C18" s="3031"/>
      <c r="D18" s="3026" t="s">
        <v>3243</v>
      </c>
      <c r="E18" s="2354"/>
      <c r="F18" s="3027" t="s">
        <v>3246</v>
      </c>
      <c r="G18" s="3031">
        <f>ROUND(1-(1/(POWER(1+G24,E18))),4)</f>
        <v>0</v>
      </c>
      <c r="H18" s="3027" t="s">
        <v>3248</v>
      </c>
      <c r="I18" s="3031">
        <f>ROUND(1-(1/(POWER(1+G24,J24))),4)</f>
        <v>0.93120000000000003</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3244</v>
      </c>
      <c r="E19" s="3040"/>
      <c r="F19" s="3041" t="s">
        <v>3247</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429" t="s">
        <v>3249</v>
      </c>
      <c r="B20" s="159" t="s">
        <v>1994</v>
      </c>
      <c r="C20" s="3028">
        <f>ROUND(IF(F21="与级别开发程度一致",0,(G21-E21)/C21),0)</f>
        <v>-36</v>
      </c>
      <c r="D20" s="3043" t="s">
        <v>1998</v>
      </c>
      <c r="E20" s="3044"/>
      <c r="F20" s="3435" t="s">
        <v>1995</v>
      </c>
      <c r="G20" s="3436"/>
      <c r="H20" s="3029" t="s">
        <v>3531</v>
      </c>
      <c r="I20" s="3029" t="s">
        <v>3532</v>
      </c>
      <c r="J20" s="3030" t="s">
        <v>3533</v>
      </c>
      <c r="K20" s="1889" t="s">
        <v>3534</v>
      </c>
      <c r="L20" s="1889" t="s">
        <v>3535</v>
      </c>
      <c r="M20" s="1889" t="s">
        <v>3536</v>
      </c>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430"/>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6" t="s">
        <v>3530</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45775</v>
      </c>
      <c r="H23" s="3045" t="s">
        <v>3251</v>
      </c>
      <c r="I23" s="3046" t="str">
        <f>IF(H23="季度增幅（自定义）",SUMIF(N25:N28,E2,O25:O28),"")</f>
        <v/>
      </c>
      <c r="J23" s="3138" t="s">
        <v>3250</v>
      </c>
      <c r="K23" s="1061"/>
      <c r="L23" s="1897" t="s">
        <v>2004</v>
      </c>
      <c r="M23" s="1241">
        <f>ROUND(SUMIF(地价!B2:G2,E2,地价!B16:G16),0)</f>
        <v>350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0.73660000000000003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21.63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3330</v>
      </c>
      <c r="C25" s="461">
        <f>IF(B25="容积率修正",IF(G3&lt;10,D26,J26),C27)</f>
        <v>0.8458</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0.8458</v>
      </c>
      <c r="E26" s="708">
        <f>ROUNDDOWN(G3,1)</f>
        <v>7.2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0.84640000000000004</v>
      </c>
      <c r="G26" s="708">
        <f>ROUNDUP(G3,1)</f>
        <v>7.3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1912" t="s">
        <v>3253</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1.0519000000000001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247</v>
      </c>
      <c r="D30" s="1925"/>
      <c r="E30" s="1842"/>
      <c r="F30" s="1926"/>
      <c r="G30" s="1842"/>
      <c r="H30" s="1842"/>
      <c r="I30" s="1842"/>
      <c r="J30" s="1927"/>
      <c r="K30" s="1056"/>
      <c r="L30" s="3052" t="s">
        <v>1936</v>
      </c>
      <c r="M30" s="3053" t="s">
        <v>1990</v>
      </c>
      <c r="N30" s="3053" t="s">
        <v>1991</v>
      </c>
      <c r="O30" s="3053" t="s">
        <v>1992</v>
      </c>
      <c r="P30" s="3053" t="s">
        <v>1993</v>
      </c>
      <c r="Q30" s="3056"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14496</v>
      </c>
      <c r="D33" s="1940">
        <f>'数据-汇总表'!E19</f>
        <v>170.67</v>
      </c>
      <c r="E33" s="727">
        <f>ROUND(C33*D33/10000,0)</f>
        <v>247</v>
      </c>
      <c r="F33" s="3047" t="s">
        <v>3255</v>
      </c>
      <c r="G33" s="1941"/>
      <c r="H33" s="1941"/>
      <c r="I33" s="1941"/>
      <c r="J33" s="1942"/>
      <c r="K33" s="1056"/>
      <c r="L33" s="3050" t="s">
        <v>3258</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3624</v>
      </c>
      <c r="D34" s="1945"/>
      <c r="E34" s="727">
        <f>ROUND(IF(B25="楼层修正",SUM(V2:V16)*M40,C34*D34/10000),0)</f>
        <v>0</v>
      </c>
      <c r="F34" s="1946" t="s">
        <v>2032</v>
      </c>
      <c r="G34" s="1947"/>
      <c r="H34" s="1947"/>
      <c r="I34" s="1947"/>
      <c r="J34" s="1948"/>
      <c r="K34" s="1056"/>
      <c r="L34" s="3050" t="s">
        <v>3259</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33"/>
      <c r="B37" s="1955" t="s">
        <v>2036</v>
      </c>
      <c r="C37" s="167">
        <f>ROUND(D5*C22*C23*C24*C28*F37,0)</f>
        <v>10283</v>
      </c>
      <c r="D37" s="1940"/>
      <c r="E37" s="163">
        <f>ROUND(C37*D37/10000,0)</f>
        <v>0</v>
      </c>
      <c r="F37" s="163">
        <f>SUMIF(修正!A57:A68,G2,修正!B57:B68)</f>
        <v>0.6</v>
      </c>
      <c r="G37" s="163">
        <f>ROUND(IF(E2="工业",C37*$M$42,C37*$M$41),0)</f>
        <v>2571</v>
      </c>
      <c r="H37" s="163">
        <f>D37</f>
        <v>0</v>
      </c>
      <c r="I37" s="163">
        <f>ROUND(G37*H37/10000,0)</f>
        <v>0</v>
      </c>
      <c r="J37" s="2751"/>
      <c r="K37" s="3058" t="s">
        <v>3261</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4"/>
      <c r="B38" s="1884" t="s">
        <v>2037</v>
      </c>
      <c r="C38" s="167">
        <f>ROUND(D5*C22*C23*C24*C28*F38,0)</f>
        <v>5142</v>
      </c>
      <c r="D38" s="1940"/>
      <c r="E38" s="163">
        <f t="shared" ref="E38:E42" si="4">ROUND(C38*D38/10000,0)</f>
        <v>0</v>
      </c>
      <c r="F38" s="163">
        <f>SUMIF(修正!A57:A68,G2,修正!C57:C68)</f>
        <v>0.3</v>
      </c>
      <c r="G38" s="163">
        <f>ROUND(IF(E2="工业",C38*$M$42,C38*$M$41),0)</f>
        <v>1286</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34"/>
      <c r="B39" s="1884" t="s">
        <v>3254</v>
      </c>
      <c r="C39" s="167">
        <f>ROUND(D5*C22*C23*C24*C28*F39,0)</f>
        <v>4285</v>
      </c>
      <c r="D39" s="1940"/>
      <c r="E39" s="163">
        <f t="shared" si="4"/>
        <v>0</v>
      </c>
      <c r="F39" s="163">
        <f>SUMIF(修正!A57:A68,G2,修正!D57:D68)</f>
        <v>0.25</v>
      </c>
      <c r="G39" s="163">
        <f>ROUND(IF(E2="工业",C39*$M$42,C39*$M$41),0)</f>
        <v>1071</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4285</v>
      </c>
      <c r="D40" s="1940"/>
      <c r="E40" s="163">
        <f t="shared" si="4"/>
        <v>0</v>
      </c>
      <c r="F40" s="167">
        <f>SUMIF(修正!A57:A68,G2,修正!E57:E68)</f>
        <v>0.25</v>
      </c>
      <c r="G40" s="163">
        <f>ROUND(IF(E2="工业",C40*$M$42,C40*$M$41),0)</f>
        <v>1071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9"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2117</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3264</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1.0519000000000001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3461</v>
      </c>
      <c r="D61" s="1002">
        <f t="shared" ref="D61:D69" si="12">SUMIF($J$60:$N$60,C61,J61:N61)</f>
        <v>1.2E-2</v>
      </c>
      <c r="E61" s="702">
        <f>ROUND(SUM(D61:D69),4)</f>
        <v>5.1900000000000002E-2</v>
      </c>
      <c r="F61" s="1675">
        <f>IF(E2="办公",SUMIF(L1:L12,G2,N1:N12),"——")</f>
        <v>9.6000000000000002E-2</v>
      </c>
      <c r="G61" s="1000">
        <v>1.2E-2</v>
      </c>
      <c r="H61" s="1003">
        <f t="shared" ref="H61:H69" si="13">IFERROR(ROUNDDOWN($F$61*I61/2,4),"——")</f>
        <v>1.2E-2</v>
      </c>
      <c r="I61" s="3065">
        <v>0.25</v>
      </c>
      <c r="J61" s="1001">
        <f t="shared" ref="J61:J69" si="14">K61+$G61</f>
        <v>2.4E-2</v>
      </c>
      <c r="K61" s="1001">
        <f t="shared" ref="K61:K69" si="15">$L61+$G61</f>
        <v>1.2E-2</v>
      </c>
      <c r="L61" s="1001">
        <v>0</v>
      </c>
      <c r="M61" s="1001">
        <f t="shared" ref="M61:N69" si="16">L61-$G61</f>
        <v>-1.2E-2</v>
      </c>
      <c r="N61" s="1001">
        <f t="shared" si="16"/>
        <v>-2.4E-2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3461</v>
      </c>
      <c r="D62" s="1002">
        <f t="shared" si="12"/>
        <v>1.24E-2</v>
      </c>
      <c r="E62" s="703"/>
      <c r="F62" s="1675"/>
      <c r="G62" s="1000">
        <v>1.24E-2</v>
      </c>
      <c r="H62" s="1003">
        <f t="shared" si="13"/>
        <v>1.24E-2</v>
      </c>
      <c r="I62" s="3065">
        <v>0.26</v>
      </c>
      <c r="J62" s="1001">
        <f t="shared" si="14"/>
        <v>2.4799999999999999E-2</v>
      </c>
      <c r="K62" s="1001">
        <f t="shared" si="15"/>
        <v>1.24E-2</v>
      </c>
      <c r="L62" s="1001">
        <v>0</v>
      </c>
      <c r="M62" s="1001">
        <f t="shared" si="16"/>
        <v>-1.24E-2</v>
      </c>
      <c r="N62" s="1001">
        <f t="shared" si="16"/>
        <v>-2.4799999999999999E-2</v>
      </c>
      <c r="AA62" s="1057"/>
      <c r="AB62" s="1057"/>
      <c r="AC62" s="1057"/>
      <c r="AD62" s="1057"/>
      <c r="AE62" s="1057"/>
      <c r="AF62" s="1057"/>
      <c r="AG62" s="1057"/>
      <c r="AH62" s="1057"/>
      <c r="AI62" s="1057"/>
      <c r="AJ62" s="1057"/>
      <c r="AK62" s="1057"/>
    </row>
    <row r="63" spans="1:37" s="1056" customFormat="1" ht="48">
      <c r="A63" s="3067" t="s">
        <v>3264</v>
      </c>
      <c r="B63" s="1262">
        <f>估价对象房地状况!C19</f>
        <v>0</v>
      </c>
      <c r="C63" s="1887" t="s">
        <v>3461</v>
      </c>
      <c r="D63" s="1002">
        <f t="shared" si="12"/>
        <v>5.1999999999999998E-3</v>
      </c>
      <c r="E63" s="703"/>
      <c r="F63" s="1675"/>
      <c r="G63" s="1000">
        <v>5.1999999999999998E-3</v>
      </c>
      <c r="H63" s="1003">
        <f t="shared" si="13"/>
        <v>5.1999999999999998E-3</v>
      </c>
      <c r="I63" s="3065">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3461</v>
      </c>
      <c r="D64" s="1002">
        <f t="shared" si="12"/>
        <v>2.3999999999999998E-3</v>
      </c>
      <c r="E64" s="703"/>
      <c r="F64" s="1675"/>
      <c r="G64" s="1000">
        <v>2.3999999999999998E-3</v>
      </c>
      <c r="H64" s="1003">
        <f t="shared" si="13"/>
        <v>2.3999999999999998E-3</v>
      </c>
      <c r="I64" s="3065">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3461</v>
      </c>
      <c r="D65" s="1002">
        <f t="shared" si="12"/>
        <v>2.3999999999999998E-3</v>
      </c>
      <c r="E65" s="703"/>
      <c r="F65" s="1675"/>
      <c r="G65" s="1000">
        <v>2.3999999999999998E-3</v>
      </c>
      <c r="H65" s="1003">
        <f t="shared" si="13"/>
        <v>2.3999999999999998E-3</v>
      </c>
      <c r="I65" s="3065">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70" t="s">
        <v>2057</v>
      </c>
      <c r="B66" s="1975" t="s">
        <v>2058</v>
      </c>
      <c r="C66" s="1887" t="s">
        <v>3461</v>
      </c>
      <c r="D66" s="1002">
        <f t="shared" si="12"/>
        <v>2.8E-3</v>
      </c>
      <c r="E66" s="703"/>
      <c r="F66" s="1675"/>
      <c r="G66" s="1000">
        <v>2.8E-3</v>
      </c>
      <c r="H66" s="1003">
        <f t="shared" si="13"/>
        <v>2.8E-3</v>
      </c>
      <c r="I66" s="3065">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3461</v>
      </c>
      <c r="D67" s="1002">
        <f t="shared" si="12"/>
        <v>2.8E-3</v>
      </c>
      <c r="E67" s="703"/>
      <c r="F67" s="1675"/>
      <c r="G67" s="1000">
        <v>2.8E-3</v>
      </c>
      <c r="H67" s="1003">
        <f t="shared" si="13"/>
        <v>2.8E-3</v>
      </c>
      <c r="I67" s="3065">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3462</v>
      </c>
      <c r="D68" s="1002">
        <f t="shared" si="12"/>
        <v>8.6E-3</v>
      </c>
      <c r="E68" s="703"/>
      <c r="F68" s="1675"/>
      <c r="G68" s="1000">
        <v>4.3E-3</v>
      </c>
      <c r="H68" s="1003">
        <f t="shared" si="13"/>
        <v>4.3E-3</v>
      </c>
      <c r="I68" s="3065">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3461</v>
      </c>
      <c r="D69" s="1002">
        <f t="shared" si="12"/>
        <v>3.3E-3</v>
      </c>
      <c r="E69" s="704"/>
      <c r="F69" s="1675"/>
      <c r="G69" s="1000">
        <v>3.3E-3</v>
      </c>
      <c r="H69" s="1003">
        <f t="shared" si="13"/>
        <v>3.3E-3</v>
      </c>
      <c r="I69" s="3066">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3264</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3265</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2607</v>
      </c>
      <c r="B91" s="3076">
        <f>1+E93</f>
        <v>1</v>
      </c>
      <c r="C91" s="3069"/>
      <c r="D91" s="3070"/>
      <c r="E91" s="1675"/>
      <c r="F91" s="1675"/>
      <c r="G91" s="3071"/>
      <c r="H91" s="3072"/>
      <c r="I91" s="3073"/>
      <c r="J91" s="3074"/>
      <c r="K91" s="3074"/>
      <c r="L91" s="3074"/>
      <c r="M91" s="3074"/>
      <c r="N91" s="3074"/>
    </row>
    <row r="92" spans="1:37" ht="25.2">
      <c r="A92" s="3077" t="s">
        <v>3266</v>
      </c>
      <c r="B92" s="2308"/>
      <c r="C92" s="2308" t="s">
        <v>3275</v>
      </c>
      <c r="D92" s="2308" t="s">
        <v>3276</v>
      </c>
      <c r="E92" s="3049" t="s">
        <v>3277</v>
      </c>
      <c r="F92" s="3079" t="s">
        <v>3278</v>
      </c>
      <c r="G92" s="2308" t="s">
        <v>3279</v>
      </c>
      <c r="H92" s="3086" t="s">
        <v>3282</v>
      </c>
      <c r="I92" s="2308" t="s">
        <v>3283</v>
      </c>
      <c r="J92" s="2149" t="s">
        <v>3284</v>
      </c>
      <c r="K92" s="2149" t="s">
        <v>3285</v>
      </c>
      <c r="L92" s="2149" t="s">
        <v>3286</v>
      </c>
      <c r="M92" s="2149" t="s">
        <v>3287</v>
      </c>
      <c r="N92" s="2149" t="s">
        <v>3288</v>
      </c>
    </row>
    <row r="93" spans="1:37" ht="24">
      <c r="A93" s="3067" t="s">
        <v>3267</v>
      </c>
      <c r="B93" s="1221"/>
      <c r="C93" s="1887"/>
      <c r="D93" s="2308">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3268</v>
      </c>
      <c r="B94" s="3068" t="str">
        <f>估价对象房地状况!C18</f>
        <v>估价对象周边道路状况、公共交通通达情况、停车便捷程度，综合评价交通便捷度较好</v>
      </c>
      <c r="C94" s="1887"/>
      <c r="D94" s="2308">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3264</v>
      </c>
      <c r="B95" s="3068">
        <f>估价对象房地状况!C19</f>
        <v>0</v>
      </c>
      <c r="C95" s="1887"/>
      <c r="D95" s="2308">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3269</v>
      </c>
      <c r="B96" s="3083" t="s">
        <v>3280</v>
      </c>
      <c r="C96" s="1887"/>
      <c r="D96" s="2308">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3270</v>
      </c>
      <c r="B97" s="3068">
        <f>估价对象房地状况!C24</f>
        <v>0</v>
      </c>
      <c r="C97" s="1887"/>
      <c r="D97" s="2308">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3271</v>
      </c>
      <c r="B98" s="3084" t="s">
        <v>3281</v>
      </c>
      <c r="C98" s="1887"/>
      <c r="D98" s="2308">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3272</v>
      </c>
      <c r="B99" s="3068" t="str">
        <f>估价对象房地状况!C21</f>
        <v>估价对象所在区域公共配套设施齐备情况</v>
      </c>
      <c r="C99" s="1887"/>
      <c r="D99" s="2308">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3273</v>
      </c>
      <c r="B100" s="3068" t="str">
        <f>估价对象房地状况!C22</f>
        <v>估价对象所在区域基础设施水平</v>
      </c>
      <c r="C100" s="1887"/>
      <c r="D100" s="2308">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3274</v>
      </c>
      <c r="B101" s="3085" t="str">
        <f>估价对象房地状况!C20</f>
        <v>区域自然环境：；人文环境；综合评价环境状况一般</v>
      </c>
      <c r="C101" s="1887"/>
      <c r="D101" s="2308">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431" t="s">
        <v>3289</v>
      </c>
      <c r="B103" s="3431"/>
      <c r="C103" s="3431"/>
      <c r="D103" s="3431"/>
      <c r="E103" s="3431"/>
      <c r="F103" s="3431"/>
      <c r="G103" s="3431"/>
      <c r="H103" s="3431"/>
      <c r="I103" s="3431"/>
      <c r="J103" s="3431"/>
      <c r="K103" s="1667"/>
      <c r="L103" s="1667"/>
      <c r="M103" s="1667"/>
      <c r="N103" s="1667"/>
    </row>
    <row r="104" spans="1:14">
      <c r="A104" s="3432" t="s">
        <v>3290</v>
      </c>
      <c r="B104" s="3432" t="s">
        <v>3291</v>
      </c>
      <c r="C104" s="3087" t="s">
        <v>3292</v>
      </c>
      <c r="D104" s="3088"/>
      <c r="E104" s="3088"/>
      <c r="F104" s="3088"/>
      <c r="G104" s="3088"/>
      <c r="H104" s="3088"/>
      <c r="I104" s="3088"/>
      <c r="J104" s="3089"/>
      <c r="K104" s="3090"/>
      <c r="L104" s="3090"/>
      <c r="M104" s="3090"/>
      <c r="N104" s="3090"/>
    </row>
    <row r="105" spans="1:14">
      <c r="A105" s="3432"/>
      <c r="B105" s="3432"/>
      <c r="C105" s="3091" t="s">
        <v>3293</v>
      </c>
      <c r="D105" s="3091" t="s">
        <v>3294</v>
      </c>
      <c r="E105" s="3091" t="s">
        <v>3295</v>
      </c>
      <c r="F105" s="3091" t="s">
        <v>3296</v>
      </c>
      <c r="G105" s="3091" t="s">
        <v>3297</v>
      </c>
      <c r="H105" s="3091" t="s">
        <v>3298</v>
      </c>
      <c r="I105" s="3091" t="s">
        <v>3299</v>
      </c>
      <c r="J105" s="3091" t="s">
        <v>3300</v>
      </c>
      <c r="K105" s="3091" t="s">
        <v>3301</v>
      </c>
      <c r="L105" s="3091" t="s">
        <v>3302</v>
      </c>
      <c r="M105" s="3091" t="s">
        <v>3303</v>
      </c>
      <c r="N105" s="3091" t="s">
        <v>3304</v>
      </c>
    </row>
    <row r="106" spans="1:14">
      <c r="A106" s="3418" t="s">
        <v>3305</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1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1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1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1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19"/>
      <c r="B111" s="3091" t="s">
        <v>3263</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20"/>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21" t="s">
        <v>3306</v>
      </c>
      <c r="B113" s="3421"/>
      <c r="C113" s="3421"/>
      <c r="D113" s="3421"/>
      <c r="E113" s="3421"/>
      <c r="F113" s="3421"/>
      <c r="G113" s="3421"/>
      <c r="H113" s="3421"/>
      <c r="I113" s="3421"/>
      <c r="J113" s="3421"/>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3307</v>
      </c>
      <c r="B116" s="3111">
        <f>G3</f>
        <v>7.23</v>
      </c>
      <c r="C116" s="3096" t="s">
        <v>3308</v>
      </c>
      <c r="D116" s="3097">
        <f>SUMPRODUCT((A118:A122=F116)*(B117:M117=H116)*B118:M122)</f>
        <v>0.83879999999999999</v>
      </c>
      <c r="E116" s="162" t="s">
        <v>3309</v>
      </c>
      <c r="F116" s="3098" t="str">
        <f>E2</f>
        <v>办公</v>
      </c>
      <c r="G116" s="162" t="s">
        <v>3310</v>
      </c>
      <c r="H116" s="3098" t="str">
        <f>G2</f>
        <v>三级</v>
      </c>
      <c r="I116" s="162"/>
      <c r="J116" s="3099"/>
      <c r="K116" s="3099"/>
      <c r="L116" s="3099"/>
      <c r="M116" s="3099"/>
      <c r="N116" s="3094"/>
    </row>
    <row r="117" spans="1:14">
      <c r="A117" s="3100"/>
      <c r="B117" s="3101" t="s">
        <v>3311</v>
      </c>
      <c r="C117" s="3101" t="s">
        <v>3312</v>
      </c>
      <c r="D117" s="3101" t="s">
        <v>3313</v>
      </c>
      <c r="E117" s="3102" t="s">
        <v>3314</v>
      </c>
      <c r="F117" s="3102" t="s">
        <v>3315</v>
      </c>
      <c r="G117" s="3102" t="s">
        <v>3316</v>
      </c>
      <c r="H117" s="3103" t="s">
        <v>3317</v>
      </c>
      <c r="I117" s="3103" t="s">
        <v>3318</v>
      </c>
      <c r="J117" s="3104" t="s">
        <v>3319</v>
      </c>
      <c r="K117" s="3104" t="s">
        <v>3320</v>
      </c>
      <c r="L117" s="3104" t="s">
        <v>3321</v>
      </c>
      <c r="M117" s="3105" t="s">
        <v>3322</v>
      </c>
      <c r="N117" s="3094"/>
    </row>
    <row r="118" spans="1:14">
      <c r="A118" s="3054" t="s">
        <v>3323</v>
      </c>
      <c r="B118" s="3086">
        <f>ROUND(0.9968-0.011*B116,4)</f>
        <v>0.9173</v>
      </c>
      <c r="C118" s="3086">
        <f>B118</f>
        <v>0.9173</v>
      </c>
      <c r="D118" s="3086">
        <f>ROUND(0.949-0.014*B116,4)</f>
        <v>0.8478</v>
      </c>
      <c r="E118" s="3086">
        <f>D118</f>
        <v>0.8478</v>
      </c>
      <c r="F118" s="3086">
        <f>E118</f>
        <v>0.8478</v>
      </c>
      <c r="G118" s="3086">
        <f>F118</f>
        <v>0.8478</v>
      </c>
      <c r="H118" s="3086">
        <f>G118</f>
        <v>0.8478</v>
      </c>
      <c r="I118" s="3086">
        <f>ROUND(0.8486-0.018*B116,4)</f>
        <v>0.71850000000000003</v>
      </c>
      <c r="J118" s="3086">
        <f t="shared" ref="J118:M122" si="35">I118</f>
        <v>0.71850000000000003</v>
      </c>
      <c r="K118" s="3086">
        <f t="shared" si="35"/>
        <v>0.71850000000000003</v>
      </c>
      <c r="L118" s="3086">
        <f t="shared" si="35"/>
        <v>0.71850000000000003</v>
      </c>
      <c r="M118" s="3106">
        <f t="shared" si="35"/>
        <v>0.71850000000000003</v>
      </c>
      <c r="N118" s="3094"/>
    </row>
    <row r="119" spans="1:14">
      <c r="A119" s="3054" t="s">
        <v>3324</v>
      </c>
      <c r="B119" s="3086">
        <f>ROUND(0.993-0.0112*B116,4)</f>
        <v>0.91200000000000003</v>
      </c>
      <c r="C119" s="3086">
        <f>B119</f>
        <v>0.91200000000000003</v>
      </c>
      <c r="D119" s="3086">
        <f>ROUND(0.9415-0.0142*B116,4)</f>
        <v>0.83879999999999999</v>
      </c>
      <c r="E119" s="3086">
        <f t="shared" ref="E119:H120" si="36">D119</f>
        <v>0.83879999999999999</v>
      </c>
      <c r="F119" s="3086">
        <f t="shared" si="36"/>
        <v>0.83879999999999999</v>
      </c>
      <c r="G119" s="3086">
        <f t="shared" si="36"/>
        <v>0.83879999999999999</v>
      </c>
      <c r="H119" s="3086">
        <f t="shared" si="36"/>
        <v>0.83879999999999999</v>
      </c>
      <c r="I119" s="3086">
        <f>ROUND(0.838-0.0182*B116,4)</f>
        <v>0.70640000000000003</v>
      </c>
      <c r="J119" s="3086">
        <f t="shared" si="35"/>
        <v>0.70640000000000003</v>
      </c>
      <c r="K119" s="3086">
        <f t="shared" si="35"/>
        <v>0.70640000000000003</v>
      </c>
      <c r="L119" s="3086">
        <f t="shared" si="35"/>
        <v>0.70640000000000003</v>
      </c>
      <c r="M119" s="3106">
        <f t="shared" si="35"/>
        <v>0.70640000000000003</v>
      </c>
      <c r="N119" s="3094"/>
    </row>
    <row r="120" spans="1:14">
      <c r="A120" s="3054" t="s">
        <v>3325</v>
      </c>
      <c r="B120" s="3086">
        <f>ROUND(0.9448-0.0115*B116,4)</f>
        <v>0.86170000000000002</v>
      </c>
      <c r="C120" s="3086">
        <f>B120</f>
        <v>0.86170000000000002</v>
      </c>
      <c r="D120" s="3086">
        <f>ROUND(0.937-0.0145*B116,4)</f>
        <v>0.83220000000000005</v>
      </c>
      <c r="E120" s="3086">
        <f t="shared" si="36"/>
        <v>0.83220000000000005</v>
      </c>
      <c r="F120" s="3086">
        <f t="shared" si="36"/>
        <v>0.83220000000000005</v>
      </c>
      <c r="G120" s="3086">
        <f t="shared" si="36"/>
        <v>0.83220000000000005</v>
      </c>
      <c r="H120" s="3086">
        <f t="shared" si="36"/>
        <v>0.83220000000000005</v>
      </c>
      <c r="I120" s="3086">
        <f>ROUND(0.7965-0.0185*B116,4)</f>
        <v>0.66269999999999996</v>
      </c>
      <c r="J120" s="3086">
        <f t="shared" si="35"/>
        <v>0.66269999999999996</v>
      </c>
      <c r="K120" s="3086">
        <f t="shared" si="35"/>
        <v>0.66269999999999996</v>
      </c>
      <c r="L120" s="3086">
        <f t="shared" si="35"/>
        <v>0.66269999999999996</v>
      </c>
      <c r="M120" s="3106">
        <f t="shared" si="35"/>
        <v>0.66269999999999996</v>
      </c>
      <c r="N120" s="3094"/>
    </row>
    <row r="121" spans="1:14" ht="13.8" thickBot="1">
      <c r="A121" s="3107" t="s">
        <v>3326</v>
      </c>
      <c r="B121" s="3108">
        <f>ROUND(0.7836-0.012*B116,4)</f>
        <v>0.69679999999999997</v>
      </c>
      <c r="C121" s="3108">
        <f>B121</f>
        <v>0.69679999999999997</v>
      </c>
      <c r="D121" s="3108">
        <f>ROUND(0.753-0.015*B116,4)</f>
        <v>0.64459999999999995</v>
      </c>
      <c r="E121" s="3108">
        <f>D121</f>
        <v>0.64459999999999995</v>
      </c>
      <c r="F121" s="3108">
        <f>E121</f>
        <v>0.64459999999999995</v>
      </c>
      <c r="G121" s="3108">
        <f>ROUND(0.6612-0.018*B116,4)</f>
        <v>0.53110000000000002</v>
      </c>
      <c r="H121" s="3108">
        <f>G121</f>
        <v>0.53110000000000002</v>
      </c>
      <c r="I121" s="3108">
        <f>ROUND(0.5905-0.019*B116,4)</f>
        <v>0.4531</v>
      </c>
      <c r="J121" s="3108">
        <f t="shared" si="35"/>
        <v>0.4531</v>
      </c>
      <c r="K121" s="3108">
        <f t="shared" si="35"/>
        <v>0.4531</v>
      </c>
      <c r="L121" s="3108">
        <f t="shared" si="35"/>
        <v>0.4531</v>
      </c>
      <c r="M121" s="3109">
        <f t="shared" si="35"/>
        <v>0.4531</v>
      </c>
      <c r="N121" s="3094"/>
    </row>
    <row r="122" spans="1:14">
      <c r="A122" s="3110" t="s">
        <v>2607</v>
      </c>
      <c r="B122" s="3086">
        <f>ROUND(0.9404-0.0106*B116,4)</f>
        <v>0.86380000000000001</v>
      </c>
      <c r="C122" s="3086">
        <f>B122</f>
        <v>0.86380000000000001</v>
      </c>
      <c r="D122" s="3086">
        <f>ROUND(0.8955-0.0135*B116,4)</f>
        <v>0.79790000000000005</v>
      </c>
      <c r="E122" s="3086">
        <f t="shared" ref="E122:H122" si="37">D122</f>
        <v>0.79790000000000005</v>
      </c>
      <c r="F122" s="3086">
        <f t="shared" si="37"/>
        <v>0.79790000000000005</v>
      </c>
      <c r="G122" s="3086">
        <f t="shared" si="37"/>
        <v>0.79790000000000005</v>
      </c>
      <c r="H122" s="3086">
        <f t="shared" si="37"/>
        <v>0.79790000000000005</v>
      </c>
      <c r="I122" s="3086">
        <f>ROUND(0.7632-0.0166*B116,4)</f>
        <v>0.64319999999999999</v>
      </c>
      <c r="J122" s="3086">
        <f t="shared" si="35"/>
        <v>0.64319999999999999</v>
      </c>
      <c r="K122" s="3086">
        <f t="shared" si="35"/>
        <v>0.64319999999999999</v>
      </c>
      <c r="L122" s="3086">
        <f t="shared" si="35"/>
        <v>0.64319999999999999</v>
      </c>
      <c r="M122" s="3106">
        <f t="shared" si="35"/>
        <v>0.64319999999999999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E9AAE-0EAB-4E40-B66A-4E07E1CB3B16}">
  <sheetPr>
    <tabColor rgb="FF92D050"/>
  </sheetPr>
  <dimension ref="A1:AS524"/>
  <sheetViews>
    <sheetView zoomScale="80" zoomScaleNormal="80" workbookViewId="0">
      <pane ySplit="24" topLeftCell="A25" activePane="bottomLeft" state="frozen"/>
      <selection activeCell="C50" sqref="C50"/>
      <selection pane="bottomLeft" activeCell="S24" sqref="S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10.77734375" style="122" customWidth="1"/>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1989</v>
      </c>
    </row>
    <row r="2" spans="1:45" s="625" customFormat="1" ht="39.6">
      <c r="A2" s="930"/>
      <c r="B2" s="622" t="s">
        <v>1065</v>
      </c>
      <c r="C2" s="14" t="str">
        <f t="shared" ref="C2:R2" si="0">C3&amp;"(含)"&amp;"-"&amp;D3</f>
        <v>0(含)-300</v>
      </c>
      <c r="D2" s="623" t="str">
        <f t="shared" si="0"/>
        <v>300(含)-500</v>
      </c>
      <c r="E2" s="623" t="str">
        <f t="shared" si="0"/>
        <v>500(含)-1000</v>
      </c>
      <c r="F2" s="623" t="str">
        <f t="shared" si="0"/>
        <v>1000(含)-2000</v>
      </c>
      <c r="G2" s="623" t="str">
        <f t="shared" si="0"/>
        <v>2000(含)-3000</v>
      </c>
      <c r="H2" s="623" t="str">
        <f t="shared" si="0"/>
        <v>3000(含)-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2000</v>
      </c>
      <c r="H3" s="627">
        <f>'比较法-办公'!H104</f>
        <v>3000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73" t="s">
        <v>3520</v>
      </c>
      <c r="C5" s="940" t="str">
        <f>'比较法-办公'!C123</f>
        <v>精装修</v>
      </c>
      <c r="D5" s="940" t="str">
        <f>'比较法-办公'!D123</f>
        <v>普通装修</v>
      </c>
      <c r="E5" s="940" t="str">
        <f>'比较法-办公'!E123</f>
        <v>简单装修</v>
      </c>
      <c r="F5" s="940" t="str">
        <f>'比较法-办公'!F123</f>
        <v>毛坯</v>
      </c>
      <c r="G5" s="1227"/>
      <c r="H5" s="1227"/>
      <c r="I5" s="1227"/>
      <c r="J5" s="1227"/>
      <c r="K5" s="1227"/>
      <c r="L5" s="1228"/>
      <c r="M5" s="1229"/>
      <c r="N5" s="1229"/>
      <c r="O5" s="1227"/>
      <c r="P5" s="1227"/>
      <c r="Q5" s="1227"/>
      <c r="R5" s="1227"/>
      <c r="S5" s="1230"/>
      <c r="T5" s="943">
        <f>'比较法-办公'!K43</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1">D6-$T5</f>
        <v>96</v>
      </c>
      <c r="F6" s="1231">
        <f t="shared" si="1"/>
        <v>94</v>
      </c>
      <c r="G6" s="1231">
        <f t="shared" si="1"/>
        <v>92</v>
      </c>
      <c r="H6" s="1231">
        <f t="shared" si="1"/>
        <v>90</v>
      </c>
      <c r="I6" s="1231">
        <f t="shared" si="1"/>
        <v>88</v>
      </c>
      <c r="J6" s="1231">
        <f t="shared" si="1"/>
        <v>86</v>
      </c>
      <c r="K6" s="1231">
        <f t="shared" si="1"/>
        <v>84</v>
      </c>
      <c r="L6" s="1231">
        <f t="shared" si="1"/>
        <v>82</v>
      </c>
      <c r="M6" s="1231">
        <f t="shared" si="1"/>
        <v>80</v>
      </c>
      <c r="N6" s="1231">
        <f t="shared" si="1"/>
        <v>78</v>
      </c>
      <c r="O6" s="1231">
        <f t="shared" si="1"/>
        <v>76</v>
      </c>
      <c r="P6" s="1231">
        <f t="shared" si="1"/>
        <v>74</v>
      </c>
      <c r="Q6" s="1231">
        <f t="shared" si="1"/>
        <v>72</v>
      </c>
      <c r="R6" s="1231">
        <f t="shared" si="1"/>
        <v>70</v>
      </c>
      <c r="S6" s="1231">
        <f t="shared" si="1"/>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4">D12-$T11</f>
        <v>100</v>
      </c>
      <c r="F12" s="849">
        <f t="shared" si="4"/>
        <v>100</v>
      </c>
      <c r="G12" s="849">
        <f t="shared" si="4"/>
        <v>100</v>
      </c>
      <c r="H12" s="849">
        <f t="shared" si="4"/>
        <v>100</v>
      </c>
      <c r="I12" s="849">
        <f t="shared" si="4"/>
        <v>100</v>
      </c>
      <c r="J12" s="849">
        <f t="shared" si="4"/>
        <v>100</v>
      </c>
      <c r="K12" s="849">
        <f t="shared" si="4"/>
        <v>100</v>
      </c>
      <c r="L12" s="849">
        <f t="shared" si="4"/>
        <v>100</v>
      </c>
      <c r="M12" s="849">
        <f t="shared" si="4"/>
        <v>100</v>
      </c>
      <c r="N12" s="849">
        <f t="shared" si="4"/>
        <v>100</v>
      </c>
      <c r="O12" s="849">
        <f t="shared" si="4"/>
        <v>100</v>
      </c>
      <c r="P12" s="849">
        <f t="shared" si="4"/>
        <v>100</v>
      </c>
      <c r="Q12" s="849">
        <f t="shared" si="4"/>
        <v>100</v>
      </c>
      <c r="R12" s="849">
        <f>Q12-$T11</f>
        <v>100</v>
      </c>
      <c r="S12" s="849">
        <f t="shared" si="4"/>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2" thickBot="1">
      <c r="A20" s="632" t="s">
        <v>2092</v>
      </c>
      <c r="B20" s="286">
        <f ca="1">IF(D20="——",S22,S22-F20)</f>
        <v>1265.2535</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6">
      <c r="A21" s="632" t="s">
        <v>2094</v>
      </c>
      <c r="B21" s="286">
        <f ca="1">ROUND(B20*10000/B22,0)</f>
        <v>24020</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526.75</v>
      </c>
      <c r="C22" s="3440" t="s">
        <v>27</v>
      </c>
      <c r="D22" s="3441"/>
      <c r="E22" s="3441"/>
      <c r="F22" s="3441"/>
      <c r="G22" s="3441"/>
      <c r="H22" s="3441"/>
      <c r="I22" s="3441"/>
      <c r="J22" s="3441"/>
      <c r="K22" s="3441"/>
      <c r="L22" s="3441"/>
      <c r="M22" s="3441"/>
      <c r="N22" s="3441"/>
      <c r="O22" s="3441"/>
      <c r="P22" s="3441"/>
      <c r="Q22" s="3442"/>
      <c r="R22" s="21">
        <f ca="1">ROUND(S22*10000/B22,0)</f>
        <v>24020</v>
      </c>
      <c r="S22" s="21">
        <f ca="1">SUM(S24:S10000)</f>
        <v>1265.2535</v>
      </c>
    </row>
    <row r="23" spans="1:45" s="9" customFormat="1" ht="24">
      <c r="A23" s="8" t="s">
        <v>2096</v>
      </c>
      <c r="B23" s="8" t="s">
        <v>2097</v>
      </c>
      <c r="C23" s="8" t="s">
        <v>2098</v>
      </c>
      <c r="D23" s="8" t="str">
        <f>B5</f>
        <v>装修状况</v>
      </c>
      <c r="E23" s="8" t="s">
        <v>2098</v>
      </c>
      <c r="F23" s="8" t="str">
        <f>B7</f>
        <v>修正项3</v>
      </c>
      <c r="G23" s="8" t="s">
        <v>2098</v>
      </c>
      <c r="H23" s="8" t="str">
        <f>B9</f>
        <v>修正项4</v>
      </c>
      <c r="I23" s="8" t="s">
        <v>2098</v>
      </c>
      <c r="J23" s="8" t="str">
        <f>B11</f>
        <v>修正项5</v>
      </c>
      <c r="K23" s="8" t="s">
        <v>2098</v>
      </c>
      <c r="L23" s="8">
        <f>B13</f>
        <v>0</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6" t="s">
        <v>3540</v>
      </c>
      <c r="B24" s="633">
        <f>'数据-基础表'!G16</f>
        <v>170.67</v>
      </c>
      <c r="C24" s="2567">
        <v>1</v>
      </c>
      <c r="D24" s="2568" t="s">
        <v>3515</v>
      </c>
      <c r="E24" s="2567">
        <v>1</v>
      </c>
      <c r="F24" s="2568"/>
      <c r="G24" s="2567">
        <v>1</v>
      </c>
      <c r="H24" s="2568"/>
      <c r="I24" s="2567">
        <v>1</v>
      </c>
      <c r="J24" s="2568"/>
      <c r="K24" s="2567">
        <v>1</v>
      </c>
      <c r="L24" s="2568"/>
      <c r="M24" s="2567">
        <v>1</v>
      </c>
      <c r="N24" s="2568"/>
      <c r="O24" s="2567">
        <v>1</v>
      </c>
      <c r="P24" s="2568"/>
      <c r="Q24" s="2567">
        <v>1</v>
      </c>
      <c r="R24" s="633">
        <f ca="1">结果表!H102</f>
        <v>24020</v>
      </c>
      <c r="S24" s="634">
        <f ca="1">ROUND(R24*B24/10000,4)</f>
        <v>409.94929999999999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'数据-基础表'!C17</f>
        <v>B1506</v>
      </c>
      <c r="B25" s="633">
        <f>'数据-基础表'!G17</f>
        <v>158</v>
      </c>
      <c r="C25" s="21">
        <f>IF(B25="",1,(LOOKUP(B25,$3:$3,$4:$4)-LOOKUP($B$24,$3:$3,$4:$4)+100)/100)</f>
        <v>1</v>
      </c>
      <c r="D25" s="635" t="s">
        <v>3515</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24020</v>
      </c>
      <c r="S25" s="308">
        <f ca="1">ROUND(R25*B25/10000,4)</f>
        <v>379.51600000000002</v>
      </c>
    </row>
    <row r="26" spans="1:45">
      <c r="A26" s="142" t="str">
        <f>'数据-基础表'!C18</f>
        <v>B1507</v>
      </c>
      <c r="B26" s="633">
        <f>'数据-基础表'!G18</f>
        <v>198.08</v>
      </c>
      <c r="C26" s="21">
        <f t="shared" ref="C26:C89" si="5">IF(B26="",1,(LOOKUP(B26,$3:$3,$4:$4)-LOOKUP($B$24,$3:$3,$4:$4)+100)/100)</f>
        <v>1</v>
      </c>
      <c r="D26" s="635" t="s">
        <v>3515</v>
      </c>
      <c r="E26" s="21">
        <f t="shared" ref="E26:E89" si="6">(SUMIF($5:$5,D26,$6:$6)-SUMIF($5:$5,$D$24,$6:$6)+100)/100</f>
        <v>1</v>
      </c>
      <c r="F26" s="635"/>
      <c r="G26" s="21">
        <f t="shared" ref="G26:G89" si="7">(SUMIF($7:$7,F26,$8:$8)-SUMIF($7:$7,$F$24,$8:$8)+100)/100</f>
        <v>1</v>
      </c>
      <c r="H26" s="635"/>
      <c r="I26" s="21">
        <f t="shared" ref="I26:I89" si="8">(SUMIF($9:$9,H26,$10:$10)-SUMIF($9:$9,$H$24,$10:$10)+100)/100</f>
        <v>1</v>
      </c>
      <c r="J26" s="635"/>
      <c r="K26" s="21">
        <f t="shared" ref="K26:K89" si="9">(SUMIF($11:$11,J26,$12:$12)-SUMIF($11:$11,$J$24,$12:$12)+100)/100</f>
        <v>1</v>
      </c>
      <c r="L26" s="635"/>
      <c r="M26" s="21">
        <f t="shared" ref="M26:M89" si="10">(SUMIF($13:$13,L26,$14:$14)-SUMIF($13:$13,$L$24,$14:$14)+100)/100</f>
        <v>1</v>
      </c>
      <c r="N26" s="635"/>
      <c r="O26" s="21">
        <f t="shared" ref="O26:O89" si="11">(SUMIF($15:$15,N26,$16:$16)-SUMIF($15:$15,$N$24,$16:$16)+100)/100</f>
        <v>1</v>
      </c>
      <c r="P26" s="635"/>
      <c r="Q26" s="21">
        <f t="shared" ref="Q26:Q89" si="12">(SUMIF($17:$17,P26,$18:$18)-SUMIF($17:$17,$P$24,$18:$18)+100)/100</f>
        <v>1</v>
      </c>
      <c r="R26" s="21">
        <f t="shared" ref="R26:R89" ca="1" si="13">IF(B26="",0,ROUND($R$24*C26*E26*G26*I26*K26*M26*O26*Q26,0))</f>
        <v>24020</v>
      </c>
      <c r="S26" s="308">
        <f ca="1">ROUND(R26*B26/10000,4)</f>
        <v>475.78820000000002</v>
      </c>
    </row>
    <row r="27" spans="1:45">
      <c r="A27" s="142"/>
      <c r="B27" s="633"/>
      <c r="C27" s="21">
        <f t="shared" si="5"/>
        <v>1</v>
      </c>
      <c r="D27" s="635"/>
      <c r="E27" s="21">
        <f t="shared" si="6"/>
        <v>0.02</v>
      </c>
      <c r="F27" s="635"/>
      <c r="G27" s="21">
        <f t="shared" si="7"/>
        <v>1</v>
      </c>
      <c r="H27" s="635"/>
      <c r="I27" s="21">
        <f t="shared" si="8"/>
        <v>1</v>
      </c>
      <c r="J27" s="635"/>
      <c r="K27" s="21">
        <f t="shared" si="9"/>
        <v>1</v>
      </c>
      <c r="L27" s="635"/>
      <c r="M27" s="21">
        <f t="shared" si="10"/>
        <v>1</v>
      </c>
      <c r="N27" s="635"/>
      <c r="O27" s="21">
        <f t="shared" si="11"/>
        <v>1</v>
      </c>
      <c r="P27" s="635"/>
      <c r="Q27" s="21">
        <f t="shared" si="12"/>
        <v>1</v>
      </c>
      <c r="R27" s="21">
        <f t="shared" si="13"/>
        <v>0</v>
      </c>
      <c r="S27" s="308">
        <f t="shared" ref="S27:S87" si="14">ROUND(R27*B27/10000,0)</f>
        <v>0</v>
      </c>
    </row>
    <row r="28" spans="1:45">
      <c r="A28" s="142"/>
      <c r="B28" s="633"/>
      <c r="C28" s="21">
        <f t="shared" si="5"/>
        <v>1</v>
      </c>
      <c r="D28" s="635"/>
      <c r="E28" s="21">
        <f t="shared" si="6"/>
        <v>0.02</v>
      </c>
      <c r="F28" s="635"/>
      <c r="G28" s="21">
        <f t="shared" si="7"/>
        <v>1</v>
      </c>
      <c r="H28" s="635"/>
      <c r="I28" s="21">
        <f t="shared" si="8"/>
        <v>1</v>
      </c>
      <c r="J28" s="635"/>
      <c r="K28" s="21">
        <f t="shared" si="9"/>
        <v>1</v>
      </c>
      <c r="L28" s="635"/>
      <c r="M28" s="21">
        <f t="shared" si="10"/>
        <v>1</v>
      </c>
      <c r="N28" s="635"/>
      <c r="O28" s="21">
        <f t="shared" si="11"/>
        <v>1</v>
      </c>
      <c r="P28" s="635"/>
      <c r="Q28" s="21">
        <f t="shared" si="12"/>
        <v>1</v>
      </c>
      <c r="R28" s="21">
        <f t="shared" si="13"/>
        <v>0</v>
      </c>
      <c r="S28" s="308">
        <f t="shared" si="14"/>
        <v>0</v>
      </c>
    </row>
    <row r="29" spans="1:45">
      <c r="A29" s="142"/>
      <c r="B29" s="633"/>
      <c r="C29" s="21">
        <f t="shared" si="5"/>
        <v>1</v>
      </c>
      <c r="D29" s="635"/>
      <c r="E29" s="21">
        <f t="shared" si="6"/>
        <v>0.02</v>
      </c>
      <c r="F29" s="635"/>
      <c r="G29" s="21">
        <f t="shared" si="7"/>
        <v>1</v>
      </c>
      <c r="H29" s="635"/>
      <c r="I29" s="21">
        <f t="shared" si="8"/>
        <v>1</v>
      </c>
      <c r="J29" s="635"/>
      <c r="K29" s="21">
        <f t="shared" si="9"/>
        <v>1</v>
      </c>
      <c r="L29" s="635"/>
      <c r="M29" s="21">
        <f t="shared" si="10"/>
        <v>1</v>
      </c>
      <c r="N29" s="635"/>
      <c r="O29" s="21">
        <f t="shared" si="11"/>
        <v>1</v>
      </c>
      <c r="P29" s="635"/>
      <c r="Q29" s="21">
        <f t="shared" si="12"/>
        <v>1</v>
      </c>
      <c r="R29" s="21">
        <f t="shared" si="13"/>
        <v>0</v>
      </c>
      <c r="S29" s="308">
        <f t="shared" si="14"/>
        <v>0</v>
      </c>
    </row>
    <row r="30" spans="1:45">
      <c r="A30" s="142"/>
      <c r="B30" s="633">
        <f>'数据-基础表'!G19</f>
        <v>0</v>
      </c>
      <c r="C30" s="21">
        <f t="shared" si="5"/>
        <v>1</v>
      </c>
      <c r="D30" s="635"/>
      <c r="E30" s="21">
        <f t="shared" si="6"/>
        <v>0.02</v>
      </c>
      <c r="F30" s="635"/>
      <c r="G30" s="21">
        <f t="shared" si="7"/>
        <v>1</v>
      </c>
      <c r="H30" s="635"/>
      <c r="I30" s="21">
        <f t="shared" si="8"/>
        <v>1</v>
      </c>
      <c r="J30" s="635"/>
      <c r="K30" s="21">
        <f t="shared" si="9"/>
        <v>1</v>
      </c>
      <c r="L30" s="635"/>
      <c r="M30" s="21">
        <f t="shared" si="10"/>
        <v>1</v>
      </c>
      <c r="N30" s="635"/>
      <c r="O30" s="21">
        <f t="shared" si="11"/>
        <v>1</v>
      </c>
      <c r="P30" s="635"/>
      <c r="Q30" s="21">
        <f t="shared" si="12"/>
        <v>1</v>
      </c>
      <c r="R30" s="21">
        <f t="shared" ca="1" si="13"/>
        <v>480</v>
      </c>
      <c r="S30" s="308">
        <f t="shared" ca="1" si="14"/>
        <v>0</v>
      </c>
    </row>
    <row r="31" spans="1:45">
      <c r="A31" s="142"/>
      <c r="B31" s="633">
        <f>'数据-基础表'!G20</f>
        <v>0</v>
      </c>
      <c r="C31" s="21">
        <f t="shared" si="5"/>
        <v>1</v>
      </c>
      <c r="D31" s="635"/>
      <c r="E31" s="21">
        <f t="shared" si="6"/>
        <v>0.02</v>
      </c>
      <c r="F31" s="635"/>
      <c r="G31" s="21">
        <f t="shared" si="7"/>
        <v>1</v>
      </c>
      <c r="H31" s="635"/>
      <c r="I31" s="21">
        <f t="shared" si="8"/>
        <v>1</v>
      </c>
      <c r="J31" s="635"/>
      <c r="K31" s="21">
        <f t="shared" si="9"/>
        <v>1</v>
      </c>
      <c r="L31" s="635"/>
      <c r="M31" s="21">
        <f t="shared" si="10"/>
        <v>1</v>
      </c>
      <c r="N31" s="635"/>
      <c r="O31" s="21">
        <f t="shared" si="11"/>
        <v>1</v>
      </c>
      <c r="P31" s="635"/>
      <c r="Q31" s="21">
        <f t="shared" si="12"/>
        <v>1</v>
      </c>
      <c r="R31" s="21">
        <f t="shared" ca="1" si="13"/>
        <v>480</v>
      </c>
      <c r="S31" s="308">
        <f t="shared" ca="1" si="14"/>
        <v>0</v>
      </c>
    </row>
    <row r="32" spans="1:45">
      <c r="A32" s="142"/>
      <c r="B32" s="633">
        <f>'数据-基础表'!G21</f>
        <v>0</v>
      </c>
      <c r="C32" s="21">
        <f t="shared" si="5"/>
        <v>1</v>
      </c>
      <c r="D32" s="635"/>
      <c r="E32" s="21">
        <f t="shared" si="6"/>
        <v>0.02</v>
      </c>
      <c r="F32" s="635"/>
      <c r="G32" s="21">
        <f t="shared" si="7"/>
        <v>1</v>
      </c>
      <c r="H32" s="635"/>
      <c r="I32" s="21">
        <f t="shared" si="8"/>
        <v>1</v>
      </c>
      <c r="J32" s="635"/>
      <c r="K32" s="21">
        <f t="shared" si="9"/>
        <v>1</v>
      </c>
      <c r="L32" s="635"/>
      <c r="M32" s="21">
        <f t="shared" si="10"/>
        <v>1</v>
      </c>
      <c r="N32" s="635"/>
      <c r="O32" s="21">
        <f t="shared" si="11"/>
        <v>1</v>
      </c>
      <c r="P32" s="635"/>
      <c r="Q32" s="21">
        <f t="shared" si="12"/>
        <v>1</v>
      </c>
      <c r="R32" s="21">
        <f t="shared" ca="1" si="13"/>
        <v>480</v>
      </c>
      <c r="S32" s="308">
        <f t="shared" ca="1" si="14"/>
        <v>0</v>
      </c>
    </row>
    <row r="33" spans="1:19">
      <c r="A33" s="142"/>
      <c r="B33" s="52"/>
      <c r="C33" s="21">
        <f t="shared" si="5"/>
        <v>1</v>
      </c>
      <c r="D33" s="635"/>
      <c r="E33" s="21">
        <f t="shared" si="6"/>
        <v>0.02</v>
      </c>
      <c r="F33" s="635"/>
      <c r="G33" s="21">
        <f t="shared" si="7"/>
        <v>1</v>
      </c>
      <c r="H33" s="635"/>
      <c r="I33" s="21">
        <f t="shared" si="8"/>
        <v>1</v>
      </c>
      <c r="J33" s="635"/>
      <c r="K33" s="21">
        <f t="shared" si="9"/>
        <v>1</v>
      </c>
      <c r="L33" s="635"/>
      <c r="M33" s="21">
        <f t="shared" si="10"/>
        <v>1</v>
      </c>
      <c r="N33" s="635"/>
      <c r="O33" s="21">
        <f t="shared" si="11"/>
        <v>1</v>
      </c>
      <c r="P33" s="635"/>
      <c r="Q33" s="21">
        <f t="shared" si="12"/>
        <v>1</v>
      </c>
      <c r="R33" s="21">
        <f t="shared" si="13"/>
        <v>0</v>
      </c>
      <c r="S33" s="308">
        <f t="shared" si="14"/>
        <v>0</v>
      </c>
    </row>
    <row r="34" spans="1:19">
      <c r="A34" s="142"/>
      <c r="B34" s="52"/>
      <c r="C34" s="21">
        <f t="shared" si="5"/>
        <v>1</v>
      </c>
      <c r="D34" s="635"/>
      <c r="E34" s="21">
        <f t="shared" si="6"/>
        <v>0.02</v>
      </c>
      <c r="F34" s="635"/>
      <c r="G34" s="21">
        <f t="shared" si="7"/>
        <v>1</v>
      </c>
      <c r="H34" s="635"/>
      <c r="I34" s="21">
        <f t="shared" si="8"/>
        <v>1</v>
      </c>
      <c r="J34" s="635"/>
      <c r="K34" s="21">
        <f t="shared" si="9"/>
        <v>1</v>
      </c>
      <c r="L34" s="635"/>
      <c r="M34" s="21">
        <f t="shared" si="10"/>
        <v>1</v>
      </c>
      <c r="N34" s="635"/>
      <c r="O34" s="21">
        <f t="shared" si="11"/>
        <v>1</v>
      </c>
      <c r="P34" s="635"/>
      <c r="Q34" s="21">
        <f t="shared" si="12"/>
        <v>1</v>
      </c>
      <c r="R34" s="21">
        <f t="shared" si="13"/>
        <v>0</v>
      </c>
      <c r="S34" s="308">
        <f t="shared" si="14"/>
        <v>0</v>
      </c>
    </row>
    <row r="35" spans="1:19">
      <c r="A35" s="142"/>
      <c r="B35" s="52"/>
      <c r="C35" s="21">
        <f t="shared" si="5"/>
        <v>1</v>
      </c>
      <c r="D35" s="635"/>
      <c r="E35" s="21">
        <f t="shared" si="6"/>
        <v>0.02</v>
      </c>
      <c r="F35" s="635"/>
      <c r="G35" s="21">
        <f t="shared" si="7"/>
        <v>1</v>
      </c>
      <c r="H35" s="635"/>
      <c r="I35" s="21">
        <f t="shared" si="8"/>
        <v>1</v>
      </c>
      <c r="J35" s="635"/>
      <c r="K35" s="21">
        <f t="shared" si="9"/>
        <v>1</v>
      </c>
      <c r="L35" s="635"/>
      <c r="M35" s="21">
        <f t="shared" si="10"/>
        <v>1</v>
      </c>
      <c r="N35" s="635"/>
      <c r="O35" s="21">
        <f t="shared" si="11"/>
        <v>1</v>
      </c>
      <c r="P35" s="635"/>
      <c r="Q35" s="21">
        <f t="shared" si="12"/>
        <v>1</v>
      </c>
      <c r="R35" s="21">
        <f t="shared" si="13"/>
        <v>0</v>
      </c>
      <c r="S35" s="308">
        <f t="shared" si="14"/>
        <v>0</v>
      </c>
    </row>
    <row r="36" spans="1:19">
      <c r="A36" s="142"/>
      <c r="B36" s="52"/>
      <c r="C36" s="21">
        <f t="shared" si="5"/>
        <v>1</v>
      </c>
      <c r="D36" s="635"/>
      <c r="E36" s="21">
        <f t="shared" si="6"/>
        <v>0.02</v>
      </c>
      <c r="F36" s="635"/>
      <c r="G36" s="21">
        <f t="shared" si="7"/>
        <v>1</v>
      </c>
      <c r="H36" s="635"/>
      <c r="I36" s="21">
        <f t="shared" si="8"/>
        <v>1</v>
      </c>
      <c r="J36" s="635"/>
      <c r="K36" s="21">
        <f t="shared" si="9"/>
        <v>1</v>
      </c>
      <c r="L36" s="635"/>
      <c r="M36" s="21">
        <f t="shared" si="10"/>
        <v>1</v>
      </c>
      <c r="N36" s="635"/>
      <c r="O36" s="21">
        <f t="shared" si="11"/>
        <v>1</v>
      </c>
      <c r="P36" s="635"/>
      <c r="Q36" s="21">
        <f t="shared" si="12"/>
        <v>1</v>
      </c>
      <c r="R36" s="21">
        <f t="shared" si="13"/>
        <v>0</v>
      </c>
      <c r="S36" s="308">
        <f t="shared" si="14"/>
        <v>0</v>
      </c>
    </row>
    <row r="37" spans="1:19">
      <c r="A37" s="142"/>
      <c r="B37" s="52"/>
      <c r="C37" s="21">
        <f t="shared" si="5"/>
        <v>1</v>
      </c>
      <c r="D37" s="635"/>
      <c r="E37" s="21">
        <f t="shared" si="6"/>
        <v>0.02</v>
      </c>
      <c r="F37" s="635"/>
      <c r="G37" s="21">
        <f t="shared" si="7"/>
        <v>1</v>
      </c>
      <c r="H37" s="635"/>
      <c r="I37" s="21">
        <f t="shared" si="8"/>
        <v>1</v>
      </c>
      <c r="J37" s="635"/>
      <c r="K37" s="21">
        <f t="shared" si="9"/>
        <v>1</v>
      </c>
      <c r="L37" s="635"/>
      <c r="M37" s="21">
        <f t="shared" si="10"/>
        <v>1</v>
      </c>
      <c r="N37" s="635"/>
      <c r="O37" s="21">
        <f t="shared" si="11"/>
        <v>1</v>
      </c>
      <c r="P37" s="635"/>
      <c r="Q37" s="21">
        <f t="shared" si="12"/>
        <v>1</v>
      </c>
      <c r="R37" s="21">
        <f t="shared" si="13"/>
        <v>0</v>
      </c>
      <c r="S37" s="308">
        <f t="shared" si="14"/>
        <v>0</v>
      </c>
    </row>
    <row r="38" spans="1:19">
      <c r="A38" s="142"/>
      <c r="B38" s="52"/>
      <c r="C38" s="21">
        <f t="shared" si="5"/>
        <v>1</v>
      </c>
      <c r="D38" s="635"/>
      <c r="E38" s="21">
        <f t="shared" si="6"/>
        <v>0.02</v>
      </c>
      <c r="F38" s="635"/>
      <c r="G38" s="21">
        <f t="shared" si="7"/>
        <v>1</v>
      </c>
      <c r="H38" s="635"/>
      <c r="I38" s="21">
        <f t="shared" si="8"/>
        <v>1</v>
      </c>
      <c r="J38" s="635"/>
      <c r="K38" s="21">
        <f t="shared" si="9"/>
        <v>1</v>
      </c>
      <c r="L38" s="635"/>
      <c r="M38" s="21">
        <f t="shared" si="10"/>
        <v>1</v>
      </c>
      <c r="N38" s="635"/>
      <c r="O38" s="21">
        <f t="shared" si="11"/>
        <v>1</v>
      </c>
      <c r="P38" s="635"/>
      <c r="Q38" s="21">
        <f t="shared" si="12"/>
        <v>1</v>
      </c>
      <c r="R38" s="21">
        <f t="shared" si="13"/>
        <v>0</v>
      </c>
      <c r="S38" s="308">
        <f t="shared" si="14"/>
        <v>0</v>
      </c>
    </row>
    <row r="39" spans="1:19">
      <c r="A39" s="142"/>
      <c r="B39" s="52"/>
      <c r="C39" s="21">
        <f t="shared" si="5"/>
        <v>1</v>
      </c>
      <c r="D39" s="635"/>
      <c r="E39" s="21">
        <f t="shared" si="6"/>
        <v>0.02</v>
      </c>
      <c r="F39" s="635"/>
      <c r="G39" s="21">
        <f t="shared" si="7"/>
        <v>1</v>
      </c>
      <c r="H39" s="635"/>
      <c r="I39" s="21">
        <f t="shared" si="8"/>
        <v>1</v>
      </c>
      <c r="J39" s="635"/>
      <c r="K39" s="21">
        <f t="shared" si="9"/>
        <v>1</v>
      </c>
      <c r="L39" s="635"/>
      <c r="M39" s="21">
        <f t="shared" si="10"/>
        <v>1</v>
      </c>
      <c r="N39" s="635"/>
      <c r="O39" s="21">
        <f t="shared" si="11"/>
        <v>1</v>
      </c>
      <c r="P39" s="635"/>
      <c r="Q39" s="21">
        <f t="shared" si="12"/>
        <v>1</v>
      </c>
      <c r="R39" s="21">
        <f t="shared" si="13"/>
        <v>0</v>
      </c>
      <c r="S39" s="308">
        <f t="shared" si="14"/>
        <v>0</v>
      </c>
    </row>
    <row r="40" spans="1:19">
      <c r="A40" s="142"/>
      <c r="B40" s="52"/>
      <c r="C40" s="21">
        <f t="shared" si="5"/>
        <v>1</v>
      </c>
      <c r="D40" s="635"/>
      <c r="E40" s="21">
        <f t="shared" si="6"/>
        <v>0.02</v>
      </c>
      <c r="F40" s="635"/>
      <c r="G40" s="21">
        <f t="shared" si="7"/>
        <v>1</v>
      </c>
      <c r="H40" s="635"/>
      <c r="I40" s="21">
        <f t="shared" si="8"/>
        <v>1</v>
      </c>
      <c r="J40" s="635"/>
      <c r="K40" s="21">
        <f t="shared" si="9"/>
        <v>1</v>
      </c>
      <c r="L40" s="635"/>
      <c r="M40" s="21">
        <f t="shared" si="10"/>
        <v>1</v>
      </c>
      <c r="N40" s="635"/>
      <c r="O40" s="21">
        <f t="shared" si="11"/>
        <v>1</v>
      </c>
      <c r="P40" s="635"/>
      <c r="Q40" s="21">
        <f t="shared" si="12"/>
        <v>1</v>
      </c>
      <c r="R40" s="21">
        <f t="shared" si="13"/>
        <v>0</v>
      </c>
      <c r="S40" s="308">
        <f t="shared" si="14"/>
        <v>0</v>
      </c>
    </row>
    <row r="41" spans="1:19">
      <c r="A41" s="142"/>
      <c r="B41" s="52"/>
      <c r="C41" s="21">
        <f t="shared" si="5"/>
        <v>1</v>
      </c>
      <c r="D41" s="635"/>
      <c r="E41" s="21">
        <f t="shared" si="6"/>
        <v>0.02</v>
      </c>
      <c r="F41" s="635"/>
      <c r="G41" s="21">
        <f t="shared" si="7"/>
        <v>1</v>
      </c>
      <c r="H41" s="635"/>
      <c r="I41" s="21">
        <f t="shared" si="8"/>
        <v>1</v>
      </c>
      <c r="J41" s="635"/>
      <c r="K41" s="21">
        <f t="shared" si="9"/>
        <v>1</v>
      </c>
      <c r="L41" s="635"/>
      <c r="M41" s="21">
        <f t="shared" si="10"/>
        <v>1</v>
      </c>
      <c r="N41" s="635"/>
      <c r="O41" s="21">
        <f t="shared" si="11"/>
        <v>1</v>
      </c>
      <c r="P41" s="635"/>
      <c r="Q41" s="21">
        <f t="shared" si="12"/>
        <v>1</v>
      </c>
      <c r="R41" s="21">
        <f t="shared" si="13"/>
        <v>0</v>
      </c>
      <c r="S41" s="308">
        <f t="shared" si="14"/>
        <v>0</v>
      </c>
    </row>
    <row r="42" spans="1:19">
      <c r="A42" s="142"/>
      <c r="B42" s="52"/>
      <c r="C42" s="21">
        <f t="shared" si="5"/>
        <v>1</v>
      </c>
      <c r="D42" s="635"/>
      <c r="E42" s="21">
        <f t="shared" si="6"/>
        <v>0.02</v>
      </c>
      <c r="F42" s="635"/>
      <c r="G42" s="21">
        <f t="shared" si="7"/>
        <v>1</v>
      </c>
      <c r="H42" s="635"/>
      <c r="I42" s="21">
        <f t="shared" si="8"/>
        <v>1</v>
      </c>
      <c r="J42" s="635"/>
      <c r="K42" s="21">
        <f t="shared" si="9"/>
        <v>1</v>
      </c>
      <c r="L42" s="635"/>
      <c r="M42" s="21">
        <f t="shared" si="10"/>
        <v>1</v>
      </c>
      <c r="N42" s="635"/>
      <c r="O42" s="21">
        <f t="shared" si="11"/>
        <v>1</v>
      </c>
      <c r="P42" s="635"/>
      <c r="Q42" s="21">
        <f t="shared" si="12"/>
        <v>1</v>
      </c>
      <c r="R42" s="21">
        <f t="shared" si="13"/>
        <v>0</v>
      </c>
      <c r="S42" s="308">
        <f t="shared" si="14"/>
        <v>0</v>
      </c>
    </row>
    <row r="43" spans="1:19">
      <c r="A43" s="142"/>
      <c r="B43" s="52"/>
      <c r="C43" s="21">
        <f t="shared" si="5"/>
        <v>1</v>
      </c>
      <c r="D43" s="635"/>
      <c r="E43" s="21">
        <f t="shared" si="6"/>
        <v>0.02</v>
      </c>
      <c r="F43" s="635"/>
      <c r="G43" s="21">
        <f t="shared" si="7"/>
        <v>1</v>
      </c>
      <c r="H43" s="635"/>
      <c r="I43" s="21">
        <f t="shared" si="8"/>
        <v>1</v>
      </c>
      <c r="J43" s="635"/>
      <c r="K43" s="21">
        <f t="shared" si="9"/>
        <v>1</v>
      </c>
      <c r="L43" s="635"/>
      <c r="M43" s="21">
        <f t="shared" si="10"/>
        <v>1</v>
      </c>
      <c r="N43" s="635"/>
      <c r="O43" s="21">
        <f t="shared" si="11"/>
        <v>1</v>
      </c>
      <c r="P43" s="635"/>
      <c r="Q43" s="21">
        <f t="shared" si="12"/>
        <v>1</v>
      </c>
      <c r="R43" s="21">
        <f t="shared" si="13"/>
        <v>0</v>
      </c>
      <c r="S43" s="308">
        <f t="shared" si="14"/>
        <v>0</v>
      </c>
    </row>
    <row r="44" spans="1:19">
      <c r="A44" s="142"/>
      <c r="B44" s="52"/>
      <c r="C44" s="21">
        <f t="shared" si="5"/>
        <v>1</v>
      </c>
      <c r="D44" s="635"/>
      <c r="E44" s="21">
        <f t="shared" si="6"/>
        <v>0.02</v>
      </c>
      <c r="F44" s="635"/>
      <c r="G44" s="21">
        <f t="shared" si="7"/>
        <v>1</v>
      </c>
      <c r="H44" s="635"/>
      <c r="I44" s="21">
        <f t="shared" si="8"/>
        <v>1</v>
      </c>
      <c r="J44" s="635"/>
      <c r="K44" s="21">
        <f t="shared" si="9"/>
        <v>1</v>
      </c>
      <c r="L44" s="635"/>
      <c r="M44" s="21">
        <f t="shared" si="10"/>
        <v>1</v>
      </c>
      <c r="N44" s="635"/>
      <c r="O44" s="21">
        <f t="shared" si="11"/>
        <v>1</v>
      </c>
      <c r="P44" s="635"/>
      <c r="Q44" s="21">
        <f t="shared" si="12"/>
        <v>1</v>
      </c>
      <c r="R44" s="21">
        <f t="shared" si="13"/>
        <v>0</v>
      </c>
      <c r="S44" s="308">
        <f t="shared" si="14"/>
        <v>0</v>
      </c>
    </row>
    <row r="45" spans="1:19">
      <c r="A45" s="142"/>
      <c r="B45" s="52"/>
      <c r="C45" s="21">
        <f t="shared" si="5"/>
        <v>1</v>
      </c>
      <c r="D45" s="635"/>
      <c r="E45" s="21">
        <f t="shared" si="6"/>
        <v>0.02</v>
      </c>
      <c r="F45" s="635"/>
      <c r="G45" s="21">
        <f t="shared" si="7"/>
        <v>1</v>
      </c>
      <c r="H45" s="635"/>
      <c r="I45" s="21">
        <f t="shared" si="8"/>
        <v>1</v>
      </c>
      <c r="J45" s="635"/>
      <c r="K45" s="21">
        <f t="shared" si="9"/>
        <v>1</v>
      </c>
      <c r="L45" s="635"/>
      <c r="M45" s="21">
        <f t="shared" si="10"/>
        <v>1</v>
      </c>
      <c r="N45" s="635"/>
      <c r="O45" s="21">
        <f t="shared" si="11"/>
        <v>1</v>
      </c>
      <c r="P45" s="635"/>
      <c r="Q45" s="21">
        <f t="shared" si="12"/>
        <v>1</v>
      </c>
      <c r="R45" s="21">
        <f t="shared" si="13"/>
        <v>0</v>
      </c>
      <c r="S45" s="308">
        <f t="shared" si="14"/>
        <v>0</v>
      </c>
    </row>
    <row r="46" spans="1:19">
      <c r="A46" s="142"/>
      <c r="B46" s="52"/>
      <c r="C46" s="21">
        <f t="shared" si="5"/>
        <v>1</v>
      </c>
      <c r="D46" s="635"/>
      <c r="E46" s="21">
        <f t="shared" si="6"/>
        <v>0.02</v>
      </c>
      <c r="F46" s="635"/>
      <c r="G46" s="21">
        <f t="shared" si="7"/>
        <v>1</v>
      </c>
      <c r="H46" s="635"/>
      <c r="I46" s="21">
        <f t="shared" si="8"/>
        <v>1</v>
      </c>
      <c r="J46" s="635"/>
      <c r="K46" s="21">
        <f t="shared" si="9"/>
        <v>1</v>
      </c>
      <c r="L46" s="635"/>
      <c r="M46" s="21">
        <f t="shared" si="10"/>
        <v>1</v>
      </c>
      <c r="N46" s="635"/>
      <c r="O46" s="21">
        <f t="shared" si="11"/>
        <v>1</v>
      </c>
      <c r="P46" s="635"/>
      <c r="Q46" s="21">
        <f t="shared" si="12"/>
        <v>1</v>
      </c>
      <c r="R46" s="21">
        <f t="shared" si="13"/>
        <v>0</v>
      </c>
      <c r="S46" s="308">
        <f t="shared" si="14"/>
        <v>0</v>
      </c>
    </row>
    <row r="47" spans="1:19">
      <c r="A47" s="142"/>
      <c r="B47" s="52"/>
      <c r="C47" s="21">
        <f t="shared" si="5"/>
        <v>1</v>
      </c>
      <c r="D47" s="635"/>
      <c r="E47" s="21">
        <f t="shared" si="6"/>
        <v>0.02</v>
      </c>
      <c r="F47" s="635"/>
      <c r="G47" s="21">
        <f t="shared" si="7"/>
        <v>1</v>
      </c>
      <c r="H47" s="635"/>
      <c r="I47" s="21">
        <f t="shared" si="8"/>
        <v>1</v>
      </c>
      <c r="J47" s="635"/>
      <c r="K47" s="21">
        <f t="shared" si="9"/>
        <v>1</v>
      </c>
      <c r="L47" s="635"/>
      <c r="M47" s="21">
        <f t="shared" si="10"/>
        <v>1</v>
      </c>
      <c r="N47" s="635"/>
      <c r="O47" s="21">
        <f t="shared" si="11"/>
        <v>1</v>
      </c>
      <c r="P47" s="635"/>
      <c r="Q47" s="21">
        <f t="shared" si="12"/>
        <v>1</v>
      </c>
      <c r="R47" s="21">
        <f t="shared" si="13"/>
        <v>0</v>
      </c>
      <c r="S47" s="308">
        <f t="shared" si="14"/>
        <v>0</v>
      </c>
    </row>
    <row r="48" spans="1:19">
      <c r="A48" s="142"/>
      <c r="B48" s="52"/>
      <c r="C48" s="21">
        <f t="shared" si="5"/>
        <v>1</v>
      </c>
      <c r="D48" s="635"/>
      <c r="E48" s="21">
        <f t="shared" si="6"/>
        <v>0.02</v>
      </c>
      <c r="F48" s="635"/>
      <c r="G48" s="21">
        <f t="shared" si="7"/>
        <v>1</v>
      </c>
      <c r="H48" s="635"/>
      <c r="I48" s="21">
        <f t="shared" si="8"/>
        <v>1</v>
      </c>
      <c r="J48" s="635"/>
      <c r="K48" s="21">
        <f t="shared" si="9"/>
        <v>1</v>
      </c>
      <c r="L48" s="635"/>
      <c r="M48" s="21">
        <f t="shared" si="10"/>
        <v>1</v>
      </c>
      <c r="N48" s="635"/>
      <c r="O48" s="21">
        <f t="shared" si="11"/>
        <v>1</v>
      </c>
      <c r="P48" s="635"/>
      <c r="Q48" s="21">
        <f t="shared" si="12"/>
        <v>1</v>
      </c>
      <c r="R48" s="21">
        <f t="shared" si="13"/>
        <v>0</v>
      </c>
      <c r="S48" s="308">
        <f t="shared" si="14"/>
        <v>0</v>
      </c>
    </row>
    <row r="49" spans="1:19">
      <c r="A49" s="142"/>
      <c r="B49" s="52"/>
      <c r="C49" s="21">
        <f t="shared" si="5"/>
        <v>1</v>
      </c>
      <c r="D49" s="635"/>
      <c r="E49" s="21">
        <f t="shared" si="6"/>
        <v>0.02</v>
      </c>
      <c r="F49" s="635"/>
      <c r="G49" s="21">
        <f t="shared" si="7"/>
        <v>1</v>
      </c>
      <c r="H49" s="635"/>
      <c r="I49" s="21">
        <f t="shared" si="8"/>
        <v>1</v>
      </c>
      <c r="J49" s="635"/>
      <c r="K49" s="21">
        <f t="shared" si="9"/>
        <v>1</v>
      </c>
      <c r="L49" s="635"/>
      <c r="M49" s="21">
        <f t="shared" si="10"/>
        <v>1</v>
      </c>
      <c r="N49" s="635"/>
      <c r="O49" s="21">
        <f t="shared" si="11"/>
        <v>1</v>
      </c>
      <c r="P49" s="635"/>
      <c r="Q49" s="21">
        <f t="shared" si="12"/>
        <v>1</v>
      </c>
      <c r="R49" s="21">
        <f t="shared" si="13"/>
        <v>0</v>
      </c>
      <c r="S49" s="308">
        <f t="shared" si="14"/>
        <v>0</v>
      </c>
    </row>
    <row r="50" spans="1:19">
      <c r="A50" s="142"/>
      <c r="B50" s="52"/>
      <c r="C50" s="21">
        <f t="shared" si="5"/>
        <v>1</v>
      </c>
      <c r="D50" s="635"/>
      <c r="E50" s="21">
        <f t="shared" si="6"/>
        <v>0.02</v>
      </c>
      <c r="F50" s="635"/>
      <c r="G50" s="21">
        <f t="shared" si="7"/>
        <v>1</v>
      </c>
      <c r="H50" s="635"/>
      <c r="I50" s="21">
        <f t="shared" si="8"/>
        <v>1</v>
      </c>
      <c r="J50" s="635"/>
      <c r="K50" s="21">
        <f t="shared" si="9"/>
        <v>1</v>
      </c>
      <c r="L50" s="635"/>
      <c r="M50" s="21">
        <f t="shared" si="10"/>
        <v>1</v>
      </c>
      <c r="N50" s="635"/>
      <c r="O50" s="21">
        <f t="shared" si="11"/>
        <v>1</v>
      </c>
      <c r="P50" s="635"/>
      <c r="Q50" s="21">
        <f t="shared" si="12"/>
        <v>1</v>
      </c>
      <c r="R50" s="21">
        <f t="shared" si="13"/>
        <v>0</v>
      </c>
      <c r="S50" s="308">
        <f t="shared" si="14"/>
        <v>0</v>
      </c>
    </row>
    <row r="51" spans="1:19">
      <c r="A51" s="142"/>
      <c r="B51" s="52"/>
      <c r="C51" s="21">
        <f t="shared" si="5"/>
        <v>1</v>
      </c>
      <c r="D51" s="635"/>
      <c r="E51" s="21">
        <f t="shared" si="6"/>
        <v>0.02</v>
      </c>
      <c r="F51" s="635"/>
      <c r="G51" s="21">
        <f t="shared" si="7"/>
        <v>1</v>
      </c>
      <c r="H51" s="635"/>
      <c r="I51" s="21">
        <f t="shared" si="8"/>
        <v>1</v>
      </c>
      <c r="J51" s="635"/>
      <c r="K51" s="21">
        <f t="shared" si="9"/>
        <v>1</v>
      </c>
      <c r="L51" s="635"/>
      <c r="M51" s="21">
        <f t="shared" si="10"/>
        <v>1</v>
      </c>
      <c r="N51" s="635"/>
      <c r="O51" s="21">
        <f t="shared" si="11"/>
        <v>1</v>
      </c>
      <c r="P51" s="635"/>
      <c r="Q51" s="21">
        <f t="shared" si="12"/>
        <v>1</v>
      </c>
      <c r="R51" s="21">
        <f t="shared" si="13"/>
        <v>0</v>
      </c>
      <c r="S51" s="308">
        <f t="shared" si="14"/>
        <v>0</v>
      </c>
    </row>
    <row r="52" spans="1:19">
      <c r="A52" s="142"/>
      <c r="B52" s="52"/>
      <c r="C52" s="21">
        <f t="shared" si="5"/>
        <v>1</v>
      </c>
      <c r="D52" s="635"/>
      <c r="E52" s="21">
        <f t="shared" si="6"/>
        <v>0.02</v>
      </c>
      <c r="F52" s="635"/>
      <c r="G52" s="21">
        <f t="shared" si="7"/>
        <v>1</v>
      </c>
      <c r="H52" s="635"/>
      <c r="I52" s="21">
        <f t="shared" si="8"/>
        <v>1</v>
      </c>
      <c r="J52" s="635"/>
      <c r="K52" s="21">
        <f t="shared" si="9"/>
        <v>1</v>
      </c>
      <c r="L52" s="635"/>
      <c r="M52" s="21">
        <f t="shared" si="10"/>
        <v>1</v>
      </c>
      <c r="N52" s="635"/>
      <c r="O52" s="21">
        <f t="shared" si="11"/>
        <v>1</v>
      </c>
      <c r="P52" s="635"/>
      <c r="Q52" s="21">
        <f t="shared" si="12"/>
        <v>1</v>
      </c>
      <c r="R52" s="21">
        <f t="shared" si="13"/>
        <v>0</v>
      </c>
      <c r="S52" s="308">
        <f t="shared" si="14"/>
        <v>0</v>
      </c>
    </row>
    <row r="53" spans="1:19">
      <c r="A53" s="142"/>
      <c r="B53" s="52"/>
      <c r="C53" s="21">
        <f t="shared" si="5"/>
        <v>1</v>
      </c>
      <c r="D53" s="635"/>
      <c r="E53" s="21">
        <f t="shared" si="6"/>
        <v>0.02</v>
      </c>
      <c r="F53" s="635"/>
      <c r="G53" s="21">
        <f t="shared" si="7"/>
        <v>1</v>
      </c>
      <c r="H53" s="635"/>
      <c r="I53" s="21">
        <f t="shared" si="8"/>
        <v>1</v>
      </c>
      <c r="J53" s="635"/>
      <c r="K53" s="21">
        <f t="shared" si="9"/>
        <v>1</v>
      </c>
      <c r="L53" s="635"/>
      <c r="M53" s="21">
        <f t="shared" si="10"/>
        <v>1</v>
      </c>
      <c r="N53" s="635"/>
      <c r="O53" s="21">
        <f t="shared" si="11"/>
        <v>1</v>
      </c>
      <c r="P53" s="635"/>
      <c r="Q53" s="21">
        <f t="shared" si="12"/>
        <v>1</v>
      </c>
      <c r="R53" s="21">
        <f t="shared" si="13"/>
        <v>0</v>
      </c>
      <c r="S53" s="308">
        <f t="shared" si="14"/>
        <v>0</v>
      </c>
    </row>
    <row r="54" spans="1:19">
      <c r="A54" s="142"/>
      <c r="B54" s="52"/>
      <c r="C54" s="21">
        <f t="shared" si="5"/>
        <v>1</v>
      </c>
      <c r="D54" s="635"/>
      <c r="E54" s="21">
        <f t="shared" si="6"/>
        <v>0.02</v>
      </c>
      <c r="F54" s="635"/>
      <c r="G54" s="21">
        <f t="shared" si="7"/>
        <v>1</v>
      </c>
      <c r="H54" s="635"/>
      <c r="I54" s="21">
        <f t="shared" si="8"/>
        <v>1</v>
      </c>
      <c r="J54" s="635"/>
      <c r="K54" s="21">
        <f t="shared" si="9"/>
        <v>1</v>
      </c>
      <c r="L54" s="635"/>
      <c r="M54" s="21">
        <f t="shared" si="10"/>
        <v>1</v>
      </c>
      <c r="N54" s="635"/>
      <c r="O54" s="21">
        <f t="shared" si="11"/>
        <v>1</v>
      </c>
      <c r="P54" s="635"/>
      <c r="Q54" s="21">
        <f t="shared" si="12"/>
        <v>1</v>
      </c>
      <c r="R54" s="21">
        <f t="shared" si="13"/>
        <v>0</v>
      </c>
      <c r="S54" s="308">
        <f t="shared" si="14"/>
        <v>0</v>
      </c>
    </row>
    <row r="55" spans="1:19">
      <c r="A55" s="142"/>
      <c r="B55" s="52"/>
      <c r="C55" s="21">
        <f t="shared" si="5"/>
        <v>1</v>
      </c>
      <c r="D55" s="635"/>
      <c r="E55" s="21">
        <f t="shared" si="6"/>
        <v>0.02</v>
      </c>
      <c r="F55" s="635"/>
      <c r="G55" s="21">
        <f t="shared" si="7"/>
        <v>1</v>
      </c>
      <c r="H55" s="635"/>
      <c r="I55" s="21">
        <f t="shared" si="8"/>
        <v>1</v>
      </c>
      <c r="J55" s="635"/>
      <c r="K55" s="21">
        <f t="shared" si="9"/>
        <v>1</v>
      </c>
      <c r="L55" s="635"/>
      <c r="M55" s="21">
        <f t="shared" si="10"/>
        <v>1</v>
      </c>
      <c r="N55" s="635"/>
      <c r="O55" s="21">
        <f t="shared" si="11"/>
        <v>1</v>
      </c>
      <c r="P55" s="635"/>
      <c r="Q55" s="21">
        <f t="shared" si="12"/>
        <v>1</v>
      </c>
      <c r="R55" s="21">
        <f t="shared" si="13"/>
        <v>0</v>
      </c>
      <c r="S55" s="308">
        <f t="shared" si="14"/>
        <v>0</v>
      </c>
    </row>
    <row r="56" spans="1:19">
      <c r="A56" s="142"/>
      <c r="B56" s="52"/>
      <c r="C56" s="21">
        <f t="shared" si="5"/>
        <v>1</v>
      </c>
      <c r="D56" s="635"/>
      <c r="E56" s="21">
        <f t="shared" si="6"/>
        <v>0.02</v>
      </c>
      <c r="F56" s="635"/>
      <c r="G56" s="21">
        <f t="shared" si="7"/>
        <v>1</v>
      </c>
      <c r="H56" s="635"/>
      <c r="I56" s="21">
        <f t="shared" si="8"/>
        <v>1</v>
      </c>
      <c r="J56" s="635"/>
      <c r="K56" s="21">
        <f t="shared" si="9"/>
        <v>1</v>
      </c>
      <c r="L56" s="635"/>
      <c r="M56" s="21">
        <f t="shared" si="10"/>
        <v>1</v>
      </c>
      <c r="N56" s="635"/>
      <c r="O56" s="21">
        <f t="shared" si="11"/>
        <v>1</v>
      </c>
      <c r="P56" s="635"/>
      <c r="Q56" s="21">
        <f t="shared" si="12"/>
        <v>1</v>
      </c>
      <c r="R56" s="21">
        <f t="shared" si="13"/>
        <v>0</v>
      </c>
      <c r="S56" s="308">
        <f t="shared" si="14"/>
        <v>0</v>
      </c>
    </row>
    <row r="57" spans="1:19">
      <c r="A57" s="142"/>
      <c r="B57" s="52"/>
      <c r="C57" s="21">
        <f t="shared" si="5"/>
        <v>1</v>
      </c>
      <c r="D57" s="635"/>
      <c r="E57" s="21">
        <f t="shared" si="6"/>
        <v>0.02</v>
      </c>
      <c r="F57" s="635"/>
      <c r="G57" s="21">
        <f t="shared" si="7"/>
        <v>1</v>
      </c>
      <c r="H57" s="635"/>
      <c r="I57" s="21">
        <f t="shared" si="8"/>
        <v>1</v>
      </c>
      <c r="J57" s="635"/>
      <c r="K57" s="21">
        <f t="shared" si="9"/>
        <v>1</v>
      </c>
      <c r="L57" s="635"/>
      <c r="M57" s="21">
        <f t="shared" si="10"/>
        <v>1</v>
      </c>
      <c r="N57" s="635"/>
      <c r="O57" s="21">
        <f t="shared" si="11"/>
        <v>1</v>
      </c>
      <c r="P57" s="635"/>
      <c r="Q57" s="21">
        <f t="shared" si="12"/>
        <v>1</v>
      </c>
      <c r="R57" s="21">
        <f t="shared" si="13"/>
        <v>0</v>
      </c>
      <c r="S57" s="308">
        <f t="shared" si="14"/>
        <v>0</v>
      </c>
    </row>
    <row r="58" spans="1:19">
      <c r="A58" s="142"/>
      <c r="B58" s="52"/>
      <c r="C58" s="21">
        <f t="shared" si="5"/>
        <v>1</v>
      </c>
      <c r="D58" s="635"/>
      <c r="E58" s="21">
        <f t="shared" si="6"/>
        <v>0.02</v>
      </c>
      <c r="F58" s="635"/>
      <c r="G58" s="21">
        <f t="shared" si="7"/>
        <v>1</v>
      </c>
      <c r="H58" s="635"/>
      <c r="I58" s="21">
        <f t="shared" si="8"/>
        <v>1</v>
      </c>
      <c r="J58" s="635"/>
      <c r="K58" s="21">
        <f t="shared" si="9"/>
        <v>1</v>
      </c>
      <c r="L58" s="635"/>
      <c r="M58" s="21">
        <f t="shared" si="10"/>
        <v>1</v>
      </c>
      <c r="N58" s="635"/>
      <c r="O58" s="21">
        <f t="shared" si="11"/>
        <v>1</v>
      </c>
      <c r="P58" s="635"/>
      <c r="Q58" s="21">
        <f t="shared" si="12"/>
        <v>1</v>
      </c>
      <c r="R58" s="21">
        <f t="shared" si="13"/>
        <v>0</v>
      </c>
      <c r="S58" s="308">
        <f t="shared" si="14"/>
        <v>0</v>
      </c>
    </row>
    <row r="59" spans="1:19">
      <c r="A59" s="142"/>
      <c r="B59" s="52"/>
      <c r="C59" s="21">
        <f t="shared" si="5"/>
        <v>1</v>
      </c>
      <c r="D59" s="635"/>
      <c r="E59" s="21">
        <f t="shared" si="6"/>
        <v>0.02</v>
      </c>
      <c r="F59" s="635"/>
      <c r="G59" s="21">
        <f t="shared" si="7"/>
        <v>1</v>
      </c>
      <c r="H59" s="635"/>
      <c r="I59" s="21">
        <f t="shared" si="8"/>
        <v>1</v>
      </c>
      <c r="J59" s="635"/>
      <c r="K59" s="21">
        <f t="shared" si="9"/>
        <v>1</v>
      </c>
      <c r="L59" s="635"/>
      <c r="M59" s="21">
        <f t="shared" si="10"/>
        <v>1</v>
      </c>
      <c r="N59" s="635"/>
      <c r="O59" s="21">
        <f t="shared" si="11"/>
        <v>1</v>
      </c>
      <c r="P59" s="635"/>
      <c r="Q59" s="21">
        <f t="shared" si="12"/>
        <v>1</v>
      </c>
      <c r="R59" s="21">
        <f t="shared" si="13"/>
        <v>0</v>
      </c>
      <c r="S59" s="308">
        <f t="shared" si="14"/>
        <v>0</v>
      </c>
    </row>
    <row r="60" spans="1:19">
      <c r="A60" s="142"/>
      <c r="B60" s="52"/>
      <c r="C60" s="21">
        <f t="shared" si="5"/>
        <v>1</v>
      </c>
      <c r="D60" s="635"/>
      <c r="E60" s="21">
        <f t="shared" si="6"/>
        <v>0.02</v>
      </c>
      <c r="F60" s="635"/>
      <c r="G60" s="21">
        <f t="shared" si="7"/>
        <v>1</v>
      </c>
      <c r="H60" s="635"/>
      <c r="I60" s="21">
        <f t="shared" si="8"/>
        <v>1</v>
      </c>
      <c r="J60" s="635"/>
      <c r="K60" s="21">
        <f t="shared" si="9"/>
        <v>1</v>
      </c>
      <c r="L60" s="635"/>
      <c r="M60" s="21">
        <f t="shared" si="10"/>
        <v>1</v>
      </c>
      <c r="N60" s="635"/>
      <c r="O60" s="21">
        <f t="shared" si="11"/>
        <v>1</v>
      </c>
      <c r="P60" s="635"/>
      <c r="Q60" s="21">
        <f t="shared" si="12"/>
        <v>1</v>
      </c>
      <c r="R60" s="21">
        <f t="shared" si="13"/>
        <v>0</v>
      </c>
      <c r="S60" s="308">
        <f t="shared" si="14"/>
        <v>0</v>
      </c>
    </row>
    <row r="61" spans="1:19">
      <c r="A61" s="142"/>
      <c r="B61" s="52"/>
      <c r="C61" s="21">
        <f t="shared" si="5"/>
        <v>1</v>
      </c>
      <c r="D61" s="635"/>
      <c r="E61" s="21">
        <f t="shared" si="6"/>
        <v>0.02</v>
      </c>
      <c r="F61" s="635"/>
      <c r="G61" s="21">
        <f t="shared" si="7"/>
        <v>1</v>
      </c>
      <c r="H61" s="635"/>
      <c r="I61" s="21">
        <f t="shared" si="8"/>
        <v>1</v>
      </c>
      <c r="J61" s="635"/>
      <c r="K61" s="21">
        <f t="shared" si="9"/>
        <v>1</v>
      </c>
      <c r="L61" s="635"/>
      <c r="M61" s="21">
        <f t="shared" si="10"/>
        <v>1</v>
      </c>
      <c r="N61" s="635"/>
      <c r="O61" s="21">
        <f t="shared" si="11"/>
        <v>1</v>
      </c>
      <c r="P61" s="635"/>
      <c r="Q61" s="21">
        <f t="shared" si="12"/>
        <v>1</v>
      </c>
      <c r="R61" s="21">
        <f t="shared" si="13"/>
        <v>0</v>
      </c>
      <c r="S61" s="308">
        <f t="shared" si="14"/>
        <v>0</v>
      </c>
    </row>
    <row r="62" spans="1:19">
      <c r="A62" s="142"/>
      <c r="B62" s="52"/>
      <c r="C62" s="21">
        <f t="shared" si="5"/>
        <v>1</v>
      </c>
      <c r="D62" s="635"/>
      <c r="E62" s="21">
        <f t="shared" si="6"/>
        <v>0.02</v>
      </c>
      <c r="F62" s="635"/>
      <c r="G62" s="21">
        <f t="shared" si="7"/>
        <v>1</v>
      </c>
      <c r="H62" s="635"/>
      <c r="I62" s="21">
        <f t="shared" si="8"/>
        <v>1</v>
      </c>
      <c r="J62" s="635"/>
      <c r="K62" s="21">
        <f t="shared" si="9"/>
        <v>1</v>
      </c>
      <c r="L62" s="635"/>
      <c r="M62" s="21">
        <f t="shared" si="10"/>
        <v>1</v>
      </c>
      <c r="N62" s="635"/>
      <c r="O62" s="21">
        <f t="shared" si="11"/>
        <v>1</v>
      </c>
      <c r="P62" s="635"/>
      <c r="Q62" s="21">
        <f t="shared" si="12"/>
        <v>1</v>
      </c>
      <c r="R62" s="21">
        <f t="shared" si="13"/>
        <v>0</v>
      </c>
      <c r="S62" s="308">
        <f t="shared" si="14"/>
        <v>0</v>
      </c>
    </row>
    <row r="63" spans="1:19">
      <c r="A63" s="142"/>
      <c r="B63" s="52"/>
      <c r="C63" s="21">
        <f t="shared" si="5"/>
        <v>1</v>
      </c>
      <c r="D63" s="635"/>
      <c r="E63" s="21">
        <f t="shared" si="6"/>
        <v>0.02</v>
      </c>
      <c r="F63" s="635"/>
      <c r="G63" s="21">
        <f t="shared" si="7"/>
        <v>1</v>
      </c>
      <c r="H63" s="635"/>
      <c r="I63" s="21">
        <f t="shared" si="8"/>
        <v>1</v>
      </c>
      <c r="J63" s="635"/>
      <c r="K63" s="21">
        <f t="shared" si="9"/>
        <v>1</v>
      </c>
      <c r="L63" s="635"/>
      <c r="M63" s="21">
        <f t="shared" si="10"/>
        <v>1</v>
      </c>
      <c r="N63" s="635"/>
      <c r="O63" s="21">
        <f t="shared" si="11"/>
        <v>1</v>
      </c>
      <c r="P63" s="635"/>
      <c r="Q63" s="21">
        <f t="shared" si="12"/>
        <v>1</v>
      </c>
      <c r="R63" s="21">
        <f t="shared" si="13"/>
        <v>0</v>
      </c>
      <c r="S63" s="308">
        <f t="shared" si="14"/>
        <v>0</v>
      </c>
    </row>
    <row r="64" spans="1:19">
      <c r="A64" s="142"/>
      <c r="B64" s="52"/>
      <c r="C64" s="21">
        <f t="shared" si="5"/>
        <v>1</v>
      </c>
      <c r="D64" s="635"/>
      <c r="E64" s="21">
        <f t="shared" si="6"/>
        <v>0.02</v>
      </c>
      <c r="F64" s="635"/>
      <c r="G64" s="21">
        <f t="shared" si="7"/>
        <v>1</v>
      </c>
      <c r="H64" s="635"/>
      <c r="I64" s="21">
        <f t="shared" si="8"/>
        <v>1</v>
      </c>
      <c r="J64" s="635"/>
      <c r="K64" s="21">
        <f t="shared" si="9"/>
        <v>1</v>
      </c>
      <c r="L64" s="635"/>
      <c r="M64" s="21">
        <f t="shared" si="10"/>
        <v>1</v>
      </c>
      <c r="N64" s="635"/>
      <c r="O64" s="21">
        <f t="shared" si="11"/>
        <v>1</v>
      </c>
      <c r="P64" s="635"/>
      <c r="Q64" s="21">
        <f t="shared" si="12"/>
        <v>1</v>
      </c>
      <c r="R64" s="21">
        <f t="shared" si="13"/>
        <v>0</v>
      </c>
      <c r="S64" s="308">
        <f t="shared" si="14"/>
        <v>0</v>
      </c>
    </row>
    <row r="65" spans="1:19">
      <c r="A65" s="142"/>
      <c r="B65" s="52"/>
      <c r="C65" s="21">
        <f t="shared" si="5"/>
        <v>1</v>
      </c>
      <c r="D65" s="635"/>
      <c r="E65" s="21">
        <f t="shared" si="6"/>
        <v>0.02</v>
      </c>
      <c r="F65" s="635"/>
      <c r="G65" s="21">
        <f t="shared" si="7"/>
        <v>1</v>
      </c>
      <c r="H65" s="635"/>
      <c r="I65" s="21">
        <f t="shared" si="8"/>
        <v>1</v>
      </c>
      <c r="J65" s="635"/>
      <c r="K65" s="21">
        <f t="shared" si="9"/>
        <v>1</v>
      </c>
      <c r="L65" s="635"/>
      <c r="M65" s="21">
        <f t="shared" si="10"/>
        <v>1</v>
      </c>
      <c r="N65" s="635"/>
      <c r="O65" s="21">
        <f t="shared" si="11"/>
        <v>1</v>
      </c>
      <c r="P65" s="635"/>
      <c r="Q65" s="21">
        <f t="shared" si="12"/>
        <v>1</v>
      </c>
      <c r="R65" s="21">
        <f t="shared" si="13"/>
        <v>0</v>
      </c>
      <c r="S65" s="308">
        <f t="shared" si="14"/>
        <v>0</v>
      </c>
    </row>
    <row r="66" spans="1:19">
      <c r="A66" s="142"/>
      <c r="B66" s="52"/>
      <c r="C66" s="21">
        <f t="shared" si="5"/>
        <v>1</v>
      </c>
      <c r="D66" s="635"/>
      <c r="E66" s="21">
        <f t="shared" si="6"/>
        <v>0.02</v>
      </c>
      <c r="F66" s="635"/>
      <c r="G66" s="21">
        <f t="shared" si="7"/>
        <v>1</v>
      </c>
      <c r="H66" s="635"/>
      <c r="I66" s="21">
        <f t="shared" si="8"/>
        <v>1</v>
      </c>
      <c r="J66" s="635"/>
      <c r="K66" s="21">
        <f t="shared" si="9"/>
        <v>1</v>
      </c>
      <c r="L66" s="635"/>
      <c r="M66" s="21">
        <f t="shared" si="10"/>
        <v>1</v>
      </c>
      <c r="N66" s="635"/>
      <c r="O66" s="21">
        <f t="shared" si="11"/>
        <v>1</v>
      </c>
      <c r="P66" s="635"/>
      <c r="Q66" s="21">
        <f t="shared" si="12"/>
        <v>1</v>
      </c>
      <c r="R66" s="21">
        <f t="shared" si="13"/>
        <v>0</v>
      </c>
      <c r="S66" s="308">
        <f t="shared" si="14"/>
        <v>0</v>
      </c>
    </row>
    <row r="67" spans="1:19">
      <c r="A67" s="142"/>
      <c r="B67" s="52"/>
      <c r="C67" s="21">
        <f t="shared" si="5"/>
        <v>1</v>
      </c>
      <c r="D67" s="635"/>
      <c r="E67" s="21">
        <f t="shared" si="6"/>
        <v>0.02</v>
      </c>
      <c r="F67" s="635"/>
      <c r="G67" s="21">
        <f t="shared" si="7"/>
        <v>1</v>
      </c>
      <c r="H67" s="635"/>
      <c r="I67" s="21">
        <f t="shared" si="8"/>
        <v>1</v>
      </c>
      <c r="J67" s="635"/>
      <c r="K67" s="21">
        <f t="shared" si="9"/>
        <v>1</v>
      </c>
      <c r="L67" s="635"/>
      <c r="M67" s="21">
        <f t="shared" si="10"/>
        <v>1</v>
      </c>
      <c r="N67" s="635"/>
      <c r="O67" s="21">
        <f t="shared" si="11"/>
        <v>1</v>
      </c>
      <c r="P67" s="635"/>
      <c r="Q67" s="21">
        <f t="shared" si="12"/>
        <v>1</v>
      </c>
      <c r="R67" s="21">
        <f t="shared" si="13"/>
        <v>0</v>
      </c>
      <c r="S67" s="308">
        <f t="shared" si="14"/>
        <v>0</v>
      </c>
    </row>
    <row r="68" spans="1:19">
      <c r="A68" s="142"/>
      <c r="B68" s="52"/>
      <c r="C68" s="21">
        <f t="shared" si="5"/>
        <v>1</v>
      </c>
      <c r="D68" s="635"/>
      <c r="E68" s="21">
        <f t="shared" si="6"/>
        <v>0.02</v>
      </c>
      <c r="F68" s="635"/>
      <c r="G68" s="21">
        <f t="shared" si="7"/>
        <v>1</v>
      </c>
      <c r="H68" s="635"/>
      <c r="I68" s="21">
        <f t="shared" si="8"/>
        <v>1</v>
      </c>
      <c r="J68" s="635"/>
      <c r="K68" s="21">
        <f t="shared" si="9"/>
        <v>1</v>
      </c>
      <c r="L68" s="635"/>
      <c r="M68" s="21">
        <f t="shared" si="10"/>
        <v>1</v>
      </c>
      <c r="N68" s="635"/>
      <c r="O68" s="21">
        <f t="shared" si="11"/>
        <v>1</v>
      </c>
      <c r="P68" s="635"/>
      <c r="Q68" s="21">
        <f t="shared" si="12"/>
        <v>1</v>
      </c>
      <c r="R68" s="21">
        <f t="shared" si="13"/>
        <v>0</v>
      </c>
      <c r="S68" s="308">
        <f t="shared" si="14"/>
        <v>0</v>
      </c>
    </row>
    <row r="69" spans="1:19">
      <c r="A69" s="142"/>
      <c r="B69" s="52"/>
      <c r="C69" s="21">
        <f t="shared" si="5"/>
        <v>1</v>
      </c>
      <c r="D69" s="635"/>
      <c r="E69" s="21">
        <f t="shared" si="6"/>
        <v>0.02</v>
      </c>
      <c r="F69" s="635"/>
      <c r="G69" s="21">
        <f t="shared" si="7"/>
        <v>1</v>
      </c>
      <c r="H69" s="635"/>
      <c r="I69" s="21">
        <f t="shared" si="8"/>
        <v>1</v>
      </c>
      <c r="J69" s="635"/>
      <c r="K69" s="21">
        <f t="shared" si="9"/>
        <v>1</v>
      </c>
      <c r="L69" s="635"/>
      <c r="M69" s="21">
        <f t="shared" si="10"/>
        <v>1</v>
      </c>
      <c r="N69" s="635"/>
      <c r="O69" s="21">
        <f t="shared" si="11"/>
        <v>1</v>
      </c>
      <c r="P69" s="635"/>
      <c r="Q69" s="21">
        <f t="shared" si="12"/>
        <v>1</v>
      </c>
      <c r="R69" s="21">
        <f t="shared" si="13"/>
        <v>0</v>
      </c>
      <c r="S69" s="308">
        <f t="shared" si="14"/>
        <v>0</v>
      </c>
    </row>
    <row r="70" spans="1:19">
      <c r="A70" s="142"/>
      <c r="B70" s="52"/>
      <c r="C70" s="21">
        <f t="shared" si="5"/>
        <v>1</v>
      </c>
      <c r="D70" s="635"/>
      <c r="E70" s="21">
        <f t="shared" si="6"/>
        <v>0.02</v>
      </c>
      <c r="F70" s="635"/>
      <c r="G70" s="21">
        <f t="shared" si="7"/>
        <v>1</v>
      </c>
      <c r="H70" s="635"/>
      <c r="I70" s="21">
        <f t="shared" si="8"/>
        <v>1</v>
      </c>
      <c r="J70" s="635"/>
      <c r="K70" s="21">
        <f t="shared" si="9"/>
        <v>1</v>
      </c>
      <c r="L70" s="635"/>
      <c r="M70" s="21">
        <f t="shared" si="10"/>
        <v>1</v>
      </c>
      <c r="N70" s="635"/>
      <c r="O70" s="21">
        <f t="shared" si="11"/>
        <v>1</v>
      </c>
      <c r="P70" s="635"/>
      <c r="Q70" s="21">
        <f t="shared" si="12"/>
        <v>1</v>
      </c>
      <c r="R70" s="21">
        <f t="shared" si="13"/>
        <v>0</v>
      </c>
      <c r="S70" s="308">
        <f t="shared" si="14"/>
        <v>0</v>
      </c>
    </row>
    <row r="71" spans="1:19">
      <c r="A71" s="142"/>
      <c r="B71" s="52"/>
      <c r="C71" s="21">
        <f t="shared" si="5"/>
        <v>1</v>
      </c>
      <c r="D71" s="635"/>
      <c r="E71" s="21">
        <f t="shared" si="6"/>
        <v>0.02</v>
      </c>
      <c r="F71" s="635"/>
      <c r="G71" s="21">
        <f t="shared" si="7"/>
        <v>1</v>
      </c>
      <c r="H71" s="635"/>
      <c r="I71" s="21">
        <f t="shared" si="8"/>
        <v>1</v>
      </c>
      <c r="J71" s="635"/>
      <c r="K71" s="21">
        <f t="shared" si="9"/>
        <v>1</v>
      </c>
      <c r="L71" s="635"/>
      <c r="M71" s="21">
        <f t="shared" si="10"/>
        <v>1</v>
      </c>
      <c r="N71" s="635"/>
      <c r="O71" s="21">
        <f t="shared" si="11"/>
        <v>1</v>
      </c>
      <c r="P71" s="635"/>
      <c r="Q71" s="21">
        <f t="shared" si="12"/>
        <v>1</v>
      </c>
      <c r="R71" s="21">
        <f t="shared" si="13"/>
        <v>0</v>
      </c>
      <c r="S71" s="308">
        <f t="shared" si="14"/>
        <v>0</v>
      </c>
    </row>
    <row r="72" spans="1:19">
      <c r="A72" s="142"/>
      <c r="B72" s="52"/>
      <c r="C72" s="21">
        <f t="shared" si="5"/>
        <v>1</v>
      </c>
      <c r="D72" s="635"/>
      <c r="E72" s="21">
        <f t="shared" si="6"/>
        <v>0.02</v>
      </c>
      <c r="F72" s="635"/>
      <c r="G72" s="21">
        <f t="shared" si="7"/>
        <v>1</v>
      </c>
      <c r="H72" s="635"/>
      <c r="I72" s="21">
        <f t="shared" si="8"/>
        <v>1</v>
      </c>
      <c r="J72" s="635"/>
      <c r="K72" s="21">
        <f t="shared" si="9"/>
        <v>1</v>
      </c>
      <c r="L72" s="635"/>
      <c r="M72" s="21">
        <f t="shared" si="10"/>
        <v>1</v>
      </c>
      <c r="N72" s="635"/>
      <c r="O72" s="21">
        <f t="shared" si="11"/>
        <v>1</v>
      </c>
      <c r="P72" s="635"/>
      <c r="Q72" s="21">
        <f t="shared" si="12"/>
        <v>1</v>
      </c>
      <c r="R72" s="21">
        <f t="shared" si="13"/>
        <v>0</v>
      </c>
      <c r="S72" s="308">
        <f t="shared" si="14"/>
        <v>0</v>
      </c>
    </row>
    <row r="73" spans="1:19">
      <c r="A73" s="142"/>
      <c r="B73" s="52"/>
      <c r="C73" s="21">
        <f t="shared" si="5"/>
        <v>1</v>
      </c>
      <c r="D73" s="635"/>
      <c r="E73" s="21">
        <f t="shared" si="6"/>
        <v>0.02</v>
      </c>
      <c r="F73" s="635"/>
      <c r="G73" s="21">
        <f t="shared" si="7"/>
        <v>1</v>
      </c>
      <c r="H73" s="635"/>
      <c r="I73" s="21">
        <f t="shared" si="8"/>
        <v>1</v>
      </c>
      <c r="J73" s="635"/>
      <c r="K73" s="21">
        <f t="shared" si="9"/>
        <v>1</v>
      </c>
      <c r="L73" s="635"/>
      <c r="M73" s="21">
        <f t="shared" si="10"/>
        <v>1</v>
      </c>
      <c r="N73" s="635"/>
      <c r="O73" s="21">
        <f t="shared" si="11"/>
        <v>1</v>
      </c>
      <c r="P73" s="635"/>
      <c r="Q73" s="21">
        <f t="shared" si="12"/>
        <v>1</v>
      </c>
      <c r="R73" s="21">
        <f t="shared" si="13"/>
        <v>0</v>
      </c>
      <c r="S73" s="308">
        <f t="shared" si="14"/>
        <v>0</v>
      </c>
    </row>
    <row r="74" spans="1:19">
      <c r="A74" s="142"/>
      <c r="B74" s="52"/>
      <c r="C74" s="21">
        <f t="shared" si="5"/>
        <v>1</v>
      </c>
      <c r="D74" s="635"/>
      <c r="E74" s="21">
        <f t="shared" si="6"/>
        <v>0.02</v>
      </c>
      <c r="F74" s="635"/>
      <c r="G74" s="21">
        <f t="shared" si="7"/>
        <v>1</v>
      </c>
      <c r="H74" s="635"/>
      <c r="I74" s="21">
        <f t="shared" si="8"/>
        <v>1</v>
      </c>
      <c r="J74" s="635"/>
      <c r="K74" s="21">
        <f t="shared" si="9"/>
        <v>1</v>
      </c>
      <c r="L74" s="635"/>
      <c r="M74" s="21">
        <f t="shared" si="10"/>
        <v>1</v>
      </c>
      <c r="N74" s="635"/>
      <c r="O74" s="21">
        <f t="shared" si="11"/>
        <v>1</v>
      </c>
      <c r="P74" s="635"/>
      <c r="Q74" s="21">
        <f t="shared" si="12"/>
        <v>1</v>
      </c>
      <c r="R74" s="21">
        <f t="shared" si="13"/>
        <v>0</v>
      </c>
      <c r="S74" s="308">
        <f t="shared" si="14"/>
        <v>0</v>
      </c>
    </row>
    <row r="75" spans="1:19">
      <c r="A75" s="142"/>
      <c r="B75" s="52"/>
      <c r="C75" s="21">
        <f t="shared" si="5"/>
        <v>1</v>
      </c>
      <c r="D75" s="635"/>
      <c r="E75" s="21">
        <f t="shared" si="6"/>
        <v>0.02</v>
      </c>
      <c r="F75" s="635"/>
      <c r="G75" s="21">
        <f t="shared" si="7"/>
        <v>1</v>
      </c>
      <c r="H75" s="635"/>
      <c r="I75" s="21">
        <f t="shared" si="8"/>
        <v>1</v>
      </c>
      <c r="J75" s="635"/>
      <c r="K75" s="21">
        <f t="shared" si="9"/>
        <v>1</v>
      </c>
      <c r="L75" s="635"/>
      <c r="M75" s="21">
        <f t="shared" si="10"/>
        <v>1</v>
      </c>
      <c r="N75" s="635"/>
      <c r="O75" s="21">
        <f t="shared" si="11"/>
        <v>1</v>
      </c>
      <c r="P75" s="635"/>
      <c r="Q75" s="21">
        <f t="shared" si="12"/>
        <v>1</v>
      </c>
      <c r="R75" s="21">
        <f t="shared" si="13"/>
        <v>0</v>
      </c>
      <c r="S75" s="308">
        <f t="shared" si="14"/>
        <v>0</v>
      </c>
    </row>
    <row r="76" spans="1:19">
      <c r="A76" s="142"/>
      <c r="B76" s="52"/>
      <c r="C76" s="21">
        <f t="shared" si="5"/>
        <v>1</v>
      </c>
      <c r="D76" s="635"/>
      <c r="E76" s="21">
        <f t="shared" si="6"/>
        <v>0.02</v>
      </c>
      <c r="F76" s="635"/>
      <c r="G76" s="21">
        <f t="shared" si="7"/>
        <v>1</v>
      </c>
      <c r="H76" s="635"/>
      <c r="I76" s="21">
        <f t="shared" si="8"/>
        <v>1</v>
      </c>
      <c r="J76" s="635"/>
      <c r="K76" s="21">
        <f t="shared" si="9"/>
        <v>1</v>
      </c>
      <c r="L76" s="635"/>
      <c r="M76" s="21">
        <f t="shared" si="10"/>
        <v>1</v>
      </c>
      <c r="N76" s="635"/>
      <c r="O76" s="21">
        <f t="shared" si="11"/>
        <v>1</v>
      </c>
      <c r="P76" s="635"/>
      <c r="Q76" s="21">
        <f t="shared" si="12"/>
        <v>1</v>
      </c>
      <c r="R76" s="21">
        <f t="shared" si="13"/>
        <v>0</v>
      </c>
      <c r="S76" s="308">
        <f t="shared" si="14"/>
        <v>0</v>
      </c>
    </row>
    <row r="77" spans="1:19">
      <c r="A77" s="142"/>
      <c r="B77" s="52"/>
      <c r="C77" s="21">
        <f t="shared" si="5"/>
        <v>1</v>
      </c>
      <c r="D77" s="635"/>
      <c r="E77" s="21">
        <f t="shared" si="6"/>
        <v>0.02</v>
      </c>
      <c r="F77" s="635"/>
      <c r="G77" s="21">
        <f t="shared" si="7"/>
        <v>1</v>
      </c>
      <c r="H77" s="635"/>
      <c r="I77" s="21">
        <f t="shared" si="8"/>
        <v>1</v>
      </c>
      <c r="J77" s="635"/>
      <c r="K77" s="21">
        <f t="shared" si="9"/>
        <v>1</v>
      </c>
      <c r="L77" s="635"/>
      <c r="M77" s="21">
        <f t="shared" si="10"/>
        <v>1</v>
      </c>
      <c r="N77" s="635"/>
      <c r="O77" s="21">
        <f t="shared" si="11"/>
        <v>1</v>
      </c>
      <c r="P77" s="635"/>
      <c r="Q77" s="21">
        <f t="shared" si="12"/>
        <v>1</v>
      </c>
      <c r="R77" s="21">
        <f t="shared" si="13"/>
        <v>0</v>
      </c>
      <c r="S77" s="308">
        <f t="shared" si="14"/>
        <v>0</v>
      </c>
    </row>
    <row r="78" spans="1:19">
      <c r="A78" s="142"/>
      <c r="B78" s="52"/>
      <c r="C78" s="21">
        <f t="shared" si="5"/>
        <v>1</v>
      </c>
      <c r="D78" s="635"/>
      <c r="E78" s="21">
        <f t="shared" si="6"/>
        <v>0.02</v>
      </c>
      <c r="F78" s="635"/>
      <c r="G78" s="21">
        <f t="shared" si="7"/>
        <v>1</v>
      </c>
      <c r="H78" s="635"/>
      <c r="I78" s="21">
        <f t="shared" si="8"/>
        <v>1</v>
      </c>
      <c r="J78" s="635"/>
      <c r="K78" s="21">
        <f t="shared" si="9"/>
        <v>1</v>
      </c>
      <c r="L78" s="635"/>
      <c r="M78" s="21">
        <f t="shared" si="10"/>
        <v>1</v>
      </c>
      <c r="N78" s="635"/>
      <c r="O78" s="21">
        <f t="shared" si="11"/>
        <v>1</v>
      </c>
      <c r="P78" s="635"/>
      <c r="Q78" s="21">
        <f t="shared" si="12"/>
        <v>1</v>
      </c>
      <c r="R78" s="21">
        <f t="shared" si="13"/>
        <v>0</v>
      </c>
      <c r="S78" s="308">
        <f t="shared" si="14"/>
        <v>0</v>
      </c>
    </row>
    <row r="79" spans="1:19">
      <c r="A79" s="142"/>
      <c r="B79" s="52"/>
      <c r="C79" s="21">
        <f t="shared" si="5"/>
        <v>1</v>
      </c>
      <c r="D79" s="635"/>
      <c r="E79" s="21">
        <f t="shared" si="6"/>
        <v>0.02</v>
      </c>
      <c r="F79" s="635"/>
      <c r="G79" s="21">
        <f t="shared" si="7"/>
        <v>1</v>
      </c>
      <c r="H79" s="635"/>
      <c r="I79" s="21">
        <f t="shared" si="8"/>
        <v>1</v>
      </c>
      <c r="J79" s="635"/>
      <c r="K79" s="21">
        <f t="shared" si="9"/>
        <v>1</v>
      </c>
      <c r="L79" s="635"/>
      <c r="M79" s="21">
        <f t="shared" si="10"/>
        <v>1</v>
      </c>
      <c r="N79" s="635"/>
      <c r="O79" s="21">
        <f t="shared" si="11"/>
        <v>1</v>
      </c>
      <c r="P79" s="635"/>
      <c r="Q79" s="21">
        <f t="shared" si="12"/>
        <v>1</v>
      </c>
      <c r="R79" s="21">
        <f t="shared" si="13"/>
        <v>0</v>
      </c>
      <c r="S79" s="308">
        <f t="shared" si="14"/>
        <v>0</v>
      </c>
    </row>
    <row r="80" spans="1:19">
      <c r="A80" s="142"/>
      <c r="B80" s="52"/>
      <c r="C80" s="21">
        <f t="shared" si="5"/>
        <v>1</v>
      </c>
      <c r="D80" s="635"/>
      <c r="E80" s="21">
        <f t="shared" si="6"/>
        <v>0.02</v>
      </c>
      <c r="F80" s="635"/>
      <c r="G80" s="21">
        <f t="shared" si="7"/>
        <v>1</v>
      </c>
      <c r="H80" s="635"/>
      <c r="I80" s="21">
        <f t="shared" si="8"/>
        <v>1</v>
      </c>
      <c r="J80" s="635"/>
      <c r="K80" s="21">
        <f t="shared" si="9"/>
        <v>1</v>
      </c>
      <c r="L80" s="635"/>
      <c r="M80" s="21">
        <f t="shared" si="10"/>
        <v>1</v>
      </c>
      <c r="N80" s="635"/>
      <c r="O80" s="21">
        <f t="shared" si="11"/>
        <v>1</v>
      </c>
      <c r="P80" s="635"/>
      <c r="Q80" s="21">
        <f t="shared" si="12"/>
        <v>1</v>
      </c>
      <c r="R80" s="21">
        <f t="shared" si="13"/>
        <v>0</v>
      </c>
      <c r="S80" s="308">
        <f t="shared" si="14"/>
        <v>0</v>
      </c>
    </row>
    <row r="81" spans="1:19">
      <c r="A81" s="142"/>
      <c r="B81" s="52"/>
      <c r="C81" s="21">
        <f t="shared" si="5"/>
        <v>1</v>
      </c>
      <c r="D81" s="635"/>
      <c r="E81" s="21">
        <f t="shared" si="6"/>
        <v>0.02</v>
      </c>
      <c r="F81" s="635"/>
      <c r="G81" s="21">
        <f t="shared" si="7"/>
        <v>1</v>
      </c>
      <c r="H81" s="635"/>
      <c r="I81" s="21">
        <f t="shared" si="8"/>
        <v>1</v>
      </c>
      <c r="J81" s="635"/>
      <c r="K81" s="21">
        <f t="shared" si="9"/>
        <v>1</v>
      </c>
      <c r="L81" s="635"/>
      <c r="M81" s="21">
        <f t="shared" si="10"/>
        <v>1</v>
      </c>
      <c r="N81" s="635"/>
      <c r="O81" s="21">
        <f t="shared" si="11"/>
        <v>1</v>
      </c>
      <c r="P81" s="635"/>
      <c r="Q81" s="21">
        <f t="shared" si="12"/>
        <v>1</v>
      </c>
      <c r="R81" s="21">
        <f t="shared" si="13"/>
        <v>0</v>
      </c>
      <c r="S81" s="308">
        <f t="shared" si="14"/>
        <v>0</v>
      </c>
    </row>
    <row r="82" spans="1:19">
      <c r="A82" s="142"/>
      <c r="B82" s="52"/>
      <c r="C82" s="21">
        <f t="shared" si="5"/>
        <v>1</v>
      </c>
      <c r="D82" s="635"/>
      <c r="E82" s="21">
        <f t="shared" si="6"/>
        <v>0.02</v>
      </c>
      <c r="F82" s="635"/>
      <c r="G82" s="21">
        <f t="shared" si="7"/>
        <v>1</v>
      </c>
      <c r="H82" s="635"/>
      <c r="I82" s="21">
        <f t="shared" si="8"/>
        <v>1</v>
      </c>
      <c r="J82" s="635"/>
      <c r="K82" s="21">
        <f t="shared" si="9"/>
        <v>1</v>
      </c>
      <c r="L82" s="635"/>
      <c r="M82" s="21">
        <f t="shared" si="10"/>
        <v>1</v>
      </c>
      <c r="N82" s="635"/>
      <c r="O82" s="21">
        <f t="shared" si="11"/>
        <v>1</v>
      </c>
      <c r="P82" s="635"/>
      <c r="Q82" s="21">
        <f t="shared" si="12"/>
        <v>1</v>
      </c>
      <c r="R82" s="21">
        <f t="shared" si="13"/>
        <v>0</v>
      </c>
      <c r="S82" s="308">
        <f t="shared" si="14"/>
        <v>0</v>
      </c>
    </row>
    <row r="83" spans="1:19">
      <c r="A83" s="142"/>
      <c r="B83" s="52"/>
      <c r="C83" s="21">
        <f t="shared" si="5"/>
        <v>1</v>
      </c>
      <c r="D83" s="635"/>
      <c r="E83" s="21">
        <f t="shared" si="6"/>
        <v>0.02</v>
      </c>
      <c r="F83" s="635"/>
      <c r="G83" s="21">
        <f t="shared" si="7"/>
        <v>1</v>
      </c>
      <c r="H83" s="635"/>
      <c r="I83" s="21">
        <f t="shared" si="8"/>
        <v>1</v>
      </c>
      <c r="J83" s="635"/>
      <c r="K83" s="21">
        <f t="shared" si="9"/>
        <v>1</v>
      </c>
      <c r="L83" s="635"/>
      <c r="M83" s="21">
        <f t="shared" si="10"/>
        <v>1</v>
      </c>
      <c r="N83" s="635"/>
      <c r="O83" s="21">
        <f t="shared" si="11"/>
        <v>1</v>
      </c>
      <c r="P83" s="635"/>
      <c r="Q83" s="21">
        <f t="shared" si="12"/>
        <v>1</v>
      </c>
      <c r="R83" s="21">
        <f t="shared" si="13"/>
        <v>0</v>
      </c>
      <c r="S83" s="308">
        <f t="shared" si="14"/>
        <v>0</v>
      </c>
    </row>
    <row r="84" spans="1:19">
      <c r="A84" s="142"/>
      <c r="B84" s="52"/>
      <c r="C84" s="21">
        <f t="shared" si="5"/>
        <v>1</v>
      </c>
      <c r="D84" s="635"/>
      <c r="E84" s="21">
        <f t="shared" si="6"/>
        <v>0.02</v>
      </c>
      <c r="F84" s="635"/>
      <c r="G84" s="21">
        <f t="shared" si="7"/>
        <v>1</v>
      </c>
      <c r="H84" s="635"/>
      <c r="I84" s="21">
        <f t="shared" si="8"/>
        <v>1</v>
      </c>
      <c r="J84" s="635"/>
      <c r="K84" s="21">
        <f t="shared" si="9"/>
        <v>1</v>
      </c>
      <c r="L84" s="635"/>
      <c r="M84" s="21">
        <f t="shared" si="10"/>
        <v>1</v>
      </c>
      <c r="N84" s="635"/>
      <c r="O84" s="21">
        <f t="shared" si="11"/>
        <v>1</v>
      </c>
      <c r="P84" s="635"/>
      <c r="Q84" s="21">
        <f t="shared" si="12"/>
        <v>1</v>
      </c>
      <c r="R84" s="21">
        <f t="shared" si="13"/>
        <v>0</v>
      </c>
      <c r="S84" s="308">
        <f t="shared" si="14"/>
        <v>0</v>
      </c>
    </row>
    <row r="85" spans="1:19">
      <c r="A85" s="142"/>
      <c r="B85" s="52"/>
      <c r="C85" s="21">
        <f t="shared" si="5"/>
        <v>1</v>
      </c>
      <c r="D85" s="635"/>
      <c r="E85" s="21">
        <f t="shared" si="6"/>
        <v>0.02</v>
      </c>
      <c r="F85" s="635"/>
      <c r="G85" s="21">
        <f t="shared" si="7"/>
        <v>1</v>
      </c>
      <c r="H85" s="635"/>
      <c r="I85" s="21">
        <f t="shared" si="8"/>
        <v>1</v>
      </c>
      <c r="J85" s="635"/>
      <c r="K85" s="21">
        <f t="shared" si="9"/>
        <v>1</v>
      </c>
      <c r="L85" s="635"/>
      <c r="M85" s="21">
        <f t="shared" si="10"/>
        <v>1</v>
      </c>
      <c r="N85" s="635"/>
      <c r="O85" s="21">
        <f t="shared" si="11"/>
        <v>1</v>
      </c>
      <c r="P85" s="635"/>
      <c r="Q85" s="21">
        <f t="shared" si="12"/>
        <v>1</v>
      </c>
      <c r="R85" s="21">
        <f t="shared" si="13"/>
        <v>0</v>
      </c>
      <c r="S85" s="308">
        <f t="shared" si="14"/>
        <v>0</v>
      </c>
    </row>
    <row r="86" spans="1:19">
      <c r="A86" s="142"/>
      <c r="B86" s="52"/>
      <c r="C86" s="21">
        <f t="shared" si="5"/>
        <v>1</v>
      </c>
      <c r="D86" s="635"/>
      <c r="E86" s="21">
        <f t="shared" si="6"/>
        <v>0.02</v>
      </c>
      <c r="F86" s="635"/>
      <c r="G86" s="21">
        <f t="shared" si="7"/>
        <v>1</v>
      </c>
      <c r="H86" s="635"/>
      <c r="I86" s="21">
        <f t="shared" si="8"/>
        <v>1</v>
      </c>
      <c r="J86" s="635"/>
      <c r="K86" s="21">
        <f t="shared" si="9"/>
        <v>1</v>
      </c>
      <c r="L86" s="635"/>
      <c r="M86" s="21">
        <f t="shared" si="10"/>
        <v>1</v>
      </c>
      <c r="N86" s="635"/>
      <c r="O86" s="21">
        <f t="shared" si="11"/>
        <v>1</v>
      </c>
      <c r="P86" s="635"/>
      <c r="Q86" s="21">
        <f t="shared" si="12"/>
        <v>1</v>
      </c>
      <c r="R86" s="21">
        <f t="shared" si="13"/>
        <v>0</v>
      </c>
      <c r="S86" s="308">
        <f t="shared" si="14"/>
        <v>0</v>
      </c>
    </row>
    <row r="87" spans="1:19">
      <c r="A87" s="142"/>
      <c r="B87" s="52"/>
      <c r="C87" s="21">
        <f t="shared" si="5"/>
        <v>1</v>
      </c>
      <c r="D87" s="635"/>
      <c r="E87" s="21">
        <f t="shared" si="6"/>
        <v>0.02</v>
      </c>
      <c r="F87" s="635"/>
      <c r="G87" s="21">
        <f t="shared" si="7"/>
        <v>1</v>
      </c>
      <c r="H87" s="635"/>
      <c r="I87" s="21">
        <f t="shared" si="8"/>
        <v>1</v>
      </c>
      <c r="J87" s="635"/>
      <c r="K87" s="21">
        <f t="shared" si="9"/>
        <v>1</v>
      </c>
      <c r="L87" s="635"/>
      <c r="M87" s="21">
        <f t="shared" si="10"/>
        <v>1</v>
      </c>
      <c r="N87" s="635"/>
      <c r="O87" s="21">
        <f t="shared" si="11"/>
        <v>1</v>
      </c>
      <c r="P87" s="635"/>
      <c r="Q87" s="21">
        <f t="shared" si="12"/>
        <v>1</v>
      </c>
      <c r="R87" s="21">
        <f t="shared" si="13"/>
        <v>0</v>
      </c>
      <c r="S87" s="308">
        <f t="shared" si="14"/>
        <v>0</v>
      </c>
    </row>
    <row r="88" spans="1:19">
      <c r="A88" s="142"/>
      <c r="B88" s="52"/>
      <c r="C88" s="21">
        <f t="shared" si="5"/>
        <v>1</v>
      </c>
      <c r="D88" s="635"/>
      <c r="E88" s="21">
        <f t="shared" si="6"/>
        <v>0.02</v>
      </c>
      <c r="F88" s="635"/>
      <c r="G88" s="21">
        <f t="shared" si="7"/>
        <v>1</v>
      </c>
      <c r="H88" s="635"/>
      <c r="I88" s="21">
        <f t="shared" si="8"/>
        <v>1</v>
      </c>
      <c r="J88" s="635"/>
      <c r="K88" s="21">
        <f t="shared" si="9"/>
        <v>1</v>
      </c>
      <c r="L88" s="635"/>
      <c r="M88" s="21">
        <f t="shared" si="10"/>
        <v>1</v>
      </c>
      <c r="N88" s="635"/>
      <c r="O88" s="21">
        <f t="shared" si="11"/>
        <v>1</v>
      </c>
      <c r="P88" s="635"/>
      <c r="Q88" s="21">
        <f t="shared" si="12"/>
        <v>1</v>
      </c>
      <c r="R88" s="21">
        <f t="shared" si="13"/>
        <v>0</v>
      </c>
      <c r="S88" s="308">
        <f t="shared" ref="S88:S151" si="15">ROUND(R88*B88/10000,0)</f>
        <v>0</v>
      </c>
    </row>
    <row r="89" spans="1:19">
      <c r="A89" s="142"/>
      <c r="B89" s="52"/>
      <c r="C89" s="21">
        <f t="shared" si="5"/>
        <v>1</v>
      </c>
      <c r="D89" s="635"/>
      <c r="E89" s="21">
        <f t="shared" si="6"/>
        <v>0.02</v>
      </c>
      <c r="F89" s="635"/>
      <c r="G89" s="21">
        <f t="shared" si="7"/>
        <v>1</v>
      </c>
      <c r="H89" s="635"/>
      <c r="I89" s="21">
        <f t="shared" si="8"/>
        <v>1</v>
      </c>
      <c r="J89" s="635"/>
      <c r="K89" s="21">
        <f t="shared" si="9"/>
        <v>1</v>
      </c>
      <c r="L89" s="635"/>
      <c r="M89" s="21">
        <f t="shared" si="10"/>
        <v>1</v>
      </c>
      <c r="N89" s="635"/>
      <c r="O89" s="21">
        <f t="shared" si="11"/>
        <v>1</v>
      </c>
      <c r="P89" s="635"/>
      <c r="Q89" s="21">
        <f t="shared" si="12"/>
        <v>1</v>
      </c>
      <c r="R89" s="21">
        <f t="shared" si="13"/>
        <v>0</v>
      </c>
      <c r="S89" s="308">
        <f t="shared" si="15"/>
        <v>0</v>
      </c>
    </row>
    <row r="90" spans="1:19">
      <c r="A90" s="142"/>
      <c r="B90" s="52"/>
      <c r="C90" s="21">
        <f t="shared" ref="C90:C153" si="16">IF(B90="",1,(LOOKUP(B90,$3:$3,$4:$4)-LOOKUP($B$24,$3:$3,$4:$4)+100)/100)</f>
        <v>1</v>
      </c>
      <c r="D90" s="635"/>
      <c r="E90" s="21">
        <f t="shared" ref="E90:E153" si="17">(SUMIF($5:$5,D90,$6:$6)-SUMIF($5:$5,$D$24,$6:$6)+100)/100</f>
        <v>0.02</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0.02</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0.02</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0.02</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0.02</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0.02</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0.02</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0.02</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0.02</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0.02</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0.02</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0.02</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0.02</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0.02</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0.02</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0.02</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0.02</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0.02</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0.02</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0.02</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0.02</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0.02</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0.02</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0.02</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0.02</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0.02</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0.02</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0.02</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0.02</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0.02</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0.02</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0.02</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0.02</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0.02</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0.02</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0.02</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0.02</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0.02</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0.02</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0.02</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0.02</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0.02</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0.02</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0.02</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0.02</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0.02</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0.02</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0.02</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0.02</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0.02</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0.02</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0.02</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0.02</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0.02</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0.02</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0.02</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0.02</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0.02</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0.02</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0.02</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0.02</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0.02</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0.02</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0.02</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0.02</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0.02</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0.02</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0.02</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0.02</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0.02</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0.02</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0.02</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0.02</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0.02</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0.02</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0.02</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0.02</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0.02</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0.02</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0.02</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0.02</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0.02</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0.02</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0.02</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0.02</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0.02</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0.02</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0.02</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0.02</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0.02</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0.02</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0.02</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0.02</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0.02</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0.02</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0.02</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0.02</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0.02</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0.02</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0.02</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0.02</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0.02</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0.02</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0.02</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0.02</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0.02</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0.02</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0.02</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0.02</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0.02</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0.02</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0.02</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0.02</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0.02</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0.02</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0.02</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0.02</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0.02</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0.02</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0.02</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0.02</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0.02</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0.02</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0.02</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0.02</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0.02</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0.02</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0.02</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0.02</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0.02</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0.02</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0.02</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0.02</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0.02</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0.02</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0.02</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0.02</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0.02</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0.02</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0.02</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0.02</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0.02</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0.02</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0.02</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0.02</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0.02</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0.02</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0.02</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0.02</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0.02</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0.02</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0.02</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0.02</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0.02</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0.02</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0.02</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0.02</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0.02</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0.02</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0.02</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0.02</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0.02</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0.02</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0.02</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0.02</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0.02</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0.02</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0.02</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0.02</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0.02</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0.02</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0.02</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0.02</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0.02</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0.02</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0.02</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0.02</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0.02</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0.02</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0.02</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0.02</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0.02</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0.02</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0.02</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0.02</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0.02</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0.02</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0.02</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0.02</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0.02</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0.02</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0.02</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0.02</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0.02</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0.02</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0.02</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0.02</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0.02</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0.02</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0.02</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0.02</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0.02</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0.02</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0.02</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0.02</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0.02</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0.02</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0.02</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0.02</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0.02</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0.02</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0.02</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0.02</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0.02</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0.02</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0.02</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0.02</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0.02</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0.02</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0.02</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0.02</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0.02</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0.02</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0.02</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0.02</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0.02</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0.02</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0.02</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0.02</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0.02</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0.02</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0.02</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0.02</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0.02</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0.02</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0.02</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0.02</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0.02</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0.02</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0.02</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0.02</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0.02</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0.02</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0.02</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0.02</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0.02</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0.02</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0.02</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0.02</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0.02</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0.02</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0.02</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0.02</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0.02</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0.02</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0.02</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0.02</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0.02</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0.02</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0.02</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0.02</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0.02</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0.02</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0.02</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0.02</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0.02</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0.02</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0.02</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0.02</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0.02</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0.02</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0.02</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0.02</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0.02</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0.02</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0.02</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0.02</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0.02</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0.02</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0.02</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0.02</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0.02</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0.02</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0.02</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0.02</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0.02</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0.02</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0.02</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0.02</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0.02</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0.02</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0.02</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0.02</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0.02</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0.02</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0.02</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0.02</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0.02</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0.02</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0.02</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0.02</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0.02</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0.02</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0.02</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0.02</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0.02</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0.02</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0.02</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0.02</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0.02</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0.02</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0.02</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0.02</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0.02</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0.02</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0.02</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0.02</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0.02</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0.02</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0.02</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0.02</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0.02</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0.02</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0.02</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0.02</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0.02</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0.02</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0.02</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0.02</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0.02</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0.02</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0.02</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0.02</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0.02</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0.02</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0.02</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0.02</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0.02</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0.02</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0.02</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0.02</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0.02</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0.02</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0.02</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0.02</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0.02</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0.02</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0.02</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0.02</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0.02</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0.02</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0.02</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0.02</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0.02</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0.02</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0.02</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0.02</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0.02</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0.02</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0.02</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0.02</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0.02</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0.02</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0.02</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0.02</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0.02</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0.02</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0.02</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0.02</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0.02</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0.02</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0.02</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0.02</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0.02</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0.02</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0.02</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0.02</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0.02</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0.02</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0.02</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0.02</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0.02</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0.02</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0.02</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0.02</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0.02</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0.02</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0.02</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0.02</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0.02</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0.02</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0.02</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0.02</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0.02</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0.02</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0.02</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0.02</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0.02</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0.02</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0.02</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0.02</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0.02</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0.02</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0.02</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0.02</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0.02</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0.02</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0.02</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0.02</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0.02</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0.02</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0.02</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0.02</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0.02</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0.02</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0.02</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0.02</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0.02</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0.02</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0.02</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0.02</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0.02</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0.02</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0.02</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0.02</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0.02</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0.02</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0.02</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0.02</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0.02</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0.02</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0.02</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0.02</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0.02</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0.02</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algorithmName="SHA-512" hashValue="hoaMiG5jw9EVcUk3Gb9eCde008YepI2AMU8KuOYdNL7yt0+fNIZwc43f1V1ZprekJNF3cIyUx8/F9A8XZjvoRg==" saltValue="OgtfYwlNg9LQzg8Xb85NPg==" spinCount="100000"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05" priority="1" operator="notEqual">
      <formula>1</formula>
    </cfRule>
  </conditionalFormatting>
  <dataValidations count="9">
    <dataValidation type="list" allowBlank="1" showInputMessage="1" showErrorMessage="1" sqref="H20" xr:uid="{38E4BDE4-9C19-4BA9-85F2-15BA45796E6D}">
      <formula1>估价方法</formula1>
    </dataValidation>
    <dataValidation type="list" allowBlank="1" showInputMessage="1" showErrorMessage="1" sqref="D20" xr:uid="{6973D1D9-8229-4ECC-B3F9-1E4997904CB7}">
      <formula1>"需扣减承租人权益,——"</formula1>
    </dataValidation>
    <dataValidation type="list" allowBlank="1" showInputMessage="1" showErrorMessage="1" sqref="P24:P524" xr:uid="{CD3FA1D3-38D1-4882-A010-A3854FAB558C}">
      <formula1>一修多修正项8</formula1>
    </dataValidation>
    <dataValidation type="list" allowBlank="1" showInputMessage="1" showErrorMessage="1" sqref="N24:N524" xr:uid="{2CA91246-ABF2-407A-BA15-7CB9923BBE0B}">
      <formula1>一修多修正项7</formula1>
    </dataValidation>
    <dataValidation type="list" allowBlank="1" showInputMessage="1" showErrorMessage="1" sqref="L24:L524" xr:uid="{E87B58AB-1302-41E2-BB60-16A0308E3ED6}">
      <formula1>一修多修正项6</formula1>
    </dataValidation>
    <dataValidation type="list" allowBlank="1" showInputMessage="1" showErrorMessage="1" sqref="J24:J524" xr:uid="{52CE0164-CABB-4417-887B-4FAF900916C9}">
      <formula1>一修多修正项5</formula1>
    </dataValidation>
    <dataValidation type="list" allowBlank="1" showInputMessage="1" showErrorMessage="1" sqref="H24:H524" xr:uid="{2541736B-DB76-48BE-B810-56C8D5CAD41E}">
      <formula1>一修多修正项4</formula1>
    </dataValidation>
    <dataValidation type="list" allowBlank="1" showInputMessage="1" showErrorMessage="1" sqref="F24:F524" xr:uid="{B5A0DAD5-6B73-409F-B2E4-0270018A6445}">
      <formula1>一修多修正项3</formula1>
    </dataValidation>
    <dataValidation type="list" allowBlank="1" showInputMessage="1" showErrorMessage="1" sqref="D24:D524" xr:uid="{D1D66782-70F0-4FA0-B7C7-80F7FA9F3DF6}">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0F0B6-CEE3-4F74-9C89-17261B080778}">
  <sheetPr>
    <tabColor rgb="FF7030A0"/>
  </sheetPr>
  <dimension ref="A1:K19"/>
  <sheetViews>
    <sheetView workbookViewId="0">
      <selection activeCell="L8" sqref="L8"/>
    </sheetView>
  </sheetViews>
  <sheetFormatPr defaultRowHeight="14.4"/>
  <cols>
    <col min="1" max="1" width="18.77734375" customWidth="1"/>
    <col min="2" max="2" width="17.6640625" customWidth="1"/>
    <col min="3" max="3" width="17.88671875" customWidth="1"/>
  </cols>
  <sheetData>
    <row r="1" spans="1:11">
      <c r="A1" s="1405" t="s">
        <v>3410</v>
      </c>
      <c r="B1" s="1405" t="s">
        <v>3409</v>
      </c>
      <c r="C1" s="1405" t="s">
        <v>3411</v>
      </c>
      <c r="D1" s="1405" t="s">
        <v>3412</v>
      </c>
      <c r="E1" s="1405" t="s">
        <v>3413</v>
      </c>
      <c r="F1" s="1405" t="s">
        <v>3414</v>
      </c>
      <c r="G1" s="1405" t="s">
        <v>3415</v>
      </c>
      <c r="H1" s="1405" t="s">
        <v>3416</v>
      </c>
      <c r="I1" s="1405" t="s">
        <v>3417</v>
      </c>
      <c r="J1" s="1405" t="s">
        <v>3426</v>
      </c>
      <c r="K1" s="1405" t="s">
        <v>3527</v>
      </c>
    </row>
    <row r="2" spans="1:11" ht="28.8">
      <c r="A2" s="3159" t="s">
        <v>3418</v>
      </c>
      <c r="B2" s="3159" t="s">
        <v>3419</v>
      </c>
      <c r="C2" s="3159" t="s">
        <v>3420</v>
      </c>
      <c r="D2" s="3159" t="s">
        <v>3421</v>
      </c>
      <c r="E2" s="3159" t="s">
        <v>3422</v>
      </c>
      <c r="F2" s="3159" t="s">
        <v>3425</v>
      </c>
      <c r="G2">
        <v>26</v>
      </c>
      <c r="H2">
        <v>15</v>
      </c>
      <c r="I2">
        <v>191.56</v>
      </c>
      <c r="J2">
        <v>2000</v>
      </c>
      <c r="K2">
        <f>ROUND($A$19*I2/10000,0)</f>
        <v>321</v>
      </c>
    </row>
    <row r="3" spans="1:11">
      <c r="E3" s="1405" t="s">
        <v>3423</v>
      </c>
      <c r="I3">
        <v>179.3</v>
      </c>
      <c r="K3">
        <f t="shared" ref="K3:K4" si="0">ROUND($A$19*I3/10000,0)</f>
        <v>301</v>
      </c>
    </row>
    <row r="4" spans="1:11">
      <c r="E4" s="1405" t="s">
        <v>3424</v>
      </c>
      <c r="I4">
        <v>194.07</v>
      </c>
      <c r="K4">
        <f t="shared" si="0"/>
        <v>325</v>
      </c>
    </row>
    <row r="5" spans="1:11">
      <c r="H5" s="1405" t="s">
        <v>2587</v>
      </c>
      <c r="I5" s="3155">
        <f>SUM(I2:I4)</f>
        <v>564.93000000000006</v>
      </c>
      <c r="J5" s="3155"/>
      <c r="K5" s="3155">
        <f>SUM(K2:K4)</f>
        <v>947</v>
      </c>
    </row>
    <row r="6" spans="1:11">
      <c r="A6" s="1405" t="s">
        <v>3410</v>
      </c>
      <c r="B6" s="1405" t="s">
        <v>3409</v>
      </c>
      <c r="C6" s="1405" t="s">
        <v>3411</v>
      </c>
      <c r="D6" s="1405" t="s">
        <v>3412</v>
      </c>
      <c r="E6" s="1405" t="s">
        <v>3413</v>
      </c>
      <c r="F6" s="1405" t="s">
        <v>3414</v>
      </c>
      <c r="G6" s="1405" t="s">
        <v>3415</v>
      </c>
      <c r="H6" s="1405" t="s">
        <v>3416</v>
      </c>
      <c r="I6" s="1405" t="s">
        <v>3417</v>
      </c>
      <c r="J6" s="1405" t="s">
        <v>3426</v>
      </c>
    </row>
    <row r="7" spans="1:11" ht="28.8">
      <c r="A7" s="3159" t="s">
        <v>3427</v>
      </c>
      <c r="B7" s="3159" t="s">
        <v>3419</v>
      </c>
      <c r="C7" s="3159" t="s">
        <v>3428</v>
      </c>
      <c r="D7" s="3159" t="s">
        <v>3421</v>
      </c>
      <c r="E7" s="3159" t="s">
        <v>3429</v>
      </c>
      <c r="F7" s="3159" t="s">
        <v>3425</v>
      </c>
      <c r="G7">
        <v>26</v>
      </c>
      <c r="H7">
        <v>15</v>
      </c>
      <c r="I7">
        <v>170.67</v>
      </c>
      <c r="J7">
        <v>2000</v>
      </c>
      <c r="K7">
        <f>ROUND($A$19*I7/10000,0)</f>
        <v>286</v>
      </c>
    </row>
    <row r="8" spans="1:11">
      <c r="E8" s="1405" t="s">
        <v>3430</v>
      </c>
      <c r="F8" s="3159" t="s">
        <v>3425</v>
      </c>
      <c r="I8">
        <v>158</v>
      </c>
      <c r="K8">
        <f t="shared" ref="K8:K9" si="1">ROUND($A$19*I8/10000,0)</f>
        <v>265</v>
      </c>
    </row>
    <row r="9" spans="1:11">
      <c r="E9" s="1405" t="s">
        <v>3431</v>
      </c>
      <c r="F9" s="3159" t="s">
        <v>3425</v>
      </c>
      <c r="I9">
        <v>198.08</v>
      </c>
      <c r="K9">
        <f t="shared" si="1"/>
        <v>332</v>
      </c>
    </row>
    <row r="10" spans="1:11">
      <c r="H10" s="1405" t="s">
        <v>2587</v>
      </c>
      <c r="I10" s="3155">
        <f>SUM(I7:I9)</f>
        <v>526.75</v>
      </c>
      <c r="J10" s="3155"/>
      <c r="K10" s="3155">
        <f>SUM(K7:K9)</f>
        <v>883</v>
      </c>
    </row>
    <row r="14" spans="1:11">
      <c r="H14" s="1405" t="s">
        <v>3436</v>
      </c>
      <c r="I14">
        <f>I5+I10</f>
        <v>1091.68</v>
      </c>
      <c r="K14">
        <f>K5+K10</f>
        <v>1830</v>
      </c>
    </row>
    <row r="16" spans="1:11">
      <c r="A16" s="1405" t="s">
        <v>3524</v>
      </c>
    </row>
    <row r="17" spans="1:2">
      <c r="A17" s="1405" t="s">
        <v>3525</v>
      </c>
    </row>
    <row r="18" spans="1:2">
      <c r="A18">
        <v>18300000</v>
      </c>
      <c r="B18" s="1405" t="s">
        <v>3526</v>
      </c>
    </row>
    <row r="19" spans="1:2">
      <c r="A19">
        <f>ROUND(A18/I14,0)</f>
        <v>16763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51D2-272B-47C4-A3C3-BB4B29F6422D}">
  <sheetPr>
    <tabColor rgb="FF7030A0"/>
  </sheetPr>
  <dimension ref="Q5:R7"/>
  <sheetViews>
    <sheetView workbookViewId="0">
      <selection activeCell="M12" sqref="M12"/>
    </sheetView>
  </sheetViews>
  <sheetFormatPr defaultRowHeight="14.4"/>
  <sheetData>
    <row r="5" spans="17:18">
      <c r="Q5" s="1405" t="s">
        <v>3458</v>
      </c>
      <c r="R5">
        <v>9400</v>
      </c>
    </row>
    <row r="6" spans="17:18">
      <c r="Q6" s="1405" t="s">
        <v>3417</v>
      </c>
      <c r="R6">
        <v>84000</v>
      </c>
    </row>
    <row r="7" spans="17:18">
      <c r="Q7" s="1405" t="s">
        <v>3459</v>
      </c>
      <c r="R7">
        <f>ROUND(R6/R5,2)</f>
        <v>8.94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C8F57-F051-4971-848E-3D79E3B2CFA8}">
  <sheetPr>
    <tabColor rgb="FF7030A0"/>
  </sheetPr>
  <dimension ref="O5:P77"/>
  <sheetViews>
    <sheetView workbookViewId="0">
      <selection activeCell="M12" sqref="M12"/>
    </sheetView>
  </sheetViews>
  <sheetFormatPr defaultRowHeight="14.4"/>
  <sheetData>
    <row r="5" spans="15:16">
      <c r="O5" s="1405" t="s">
        <v>3465</v>
      </c>
    </row>
    <row r="6" spans="15:16">
      <c r="O6" s="1405" t="s">
        <v>3417</v>
      </c>
      <c r="P6">
        <v>343.61</v>
      </c>
    </row>
    <row r="7" spans="15:16">
      <c r="O7" s="1405" t="s">
        <v>3385</v>
      </c>
      <c r="P7">
        <v>24010</v>
      </c>
    </row>
    <row r="8" spans="15:16">
      <c r="O8" s="1405" t="s">
        <v>3391</v>
      </c>
      <c r="P8" s="1405" t="s">
        <v>3466</v>
      </c>
    </row>
    <row r="9" spans="15:16">
      <c r="O9" s="1405" t="s">
        <v>3468</v>
      </c>
      <c r="P9" s="1405" t="s">
        <v>3467</v>
      </c>
    </row>
    <row r="10" spans="15:16">
      <c r="P10" s="1405" t="s">
        <v>3495</v>
      </c>
    </row>
    <row r="38" spans="15:16">
      <c r="O38" s="1405" t="s">
        <v>3469</v>
      </c>
    </row>
    <row r="39" spans="15:16">
      <c r="O39" s="1405" t="s">
        <v>3417</v>
      </c>
      <c r="P39">
        <v>370</v>
      </c>
    </row>
    <row r="40" spans="15:16">
      <c r="O40" s="1405" t="s">
        <v>3385</v>
      </c>
      <c r="P40">
        <v>23000</v>
      </c>
    </row>
    <row r="41" spans="15:16">
      <c r="O41" s="1405" t="s">
        <v>3391</v>
      </c>
      <c r="P41" s="1405" t="s">
        <v>3466</v>
      </c>
    </row>
    <row r="42" spans="15:16">
      <c r="O42" s="1405" t="s">
        <v>3468</v>
      </c>
    </row>
    <row r="43" spans="15:16">
      <c r="P43" s="1405" t="s">
        <v>3495</v>
      </c>
    </row>
    <row r="72" spans="15:16">
      <c r="O72" s="1405" t="s">
        <v>3469</v>
      </c>
    </row>
    <row r="73" spans="15:16">
      <c r="O73" s="1405" t="s">
        <v>3417</v>
      </c>
      <c r="P73">
        <v>180</v>
      </c>
    </row>
    <row r="74" spans="15:16">
      <c r="O74" s="1405" t="s">
        <v>3385</v>
      </c>
      <c r="P74">
        <v>23000</v>
      </c>
    </row>
    <row r="75" spans="15:16">
      <c r="O75" s="1405" t="s">
        <v>3391</v>
      </c>
      <c r="P75" s="1405" t="s">
        <v>3496</v>
      </c>
    </row>
    <row r="76" spans="15:16">
      <c r="O76" s="1405" t="s">
        <v>3468</v>
      </c>
    </row>
    <row r="77" spans="15:16">
      <c r="P77" s="1405" t="s">
        <v>3493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979D-B3B7-490E-A046-263FC725EF79}">
  <sheetPr>
    <tabColor rgb="FF7030A0"/>
  </sheetPr>
  <dimension ref="A1"/>
  <sheetViews>
    <sheetView workbookViewId="0">
      <selection activeCell="M12" sqref="M12"/>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52.2">
      <c r="A4" s="1382" t="str">
        <f>"受贵公司委托，我公司对"&amp;项目基本情况!S1&amp;"进行了预评估。"</f>
        <v>受贵公司委托，我公司对北京市朝阳区慧忠路5号B1501.B1502.B1503.B1505.B1506.B1507房地产抵押价值进行了预评估。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B1501.B1502.B1503.B1505.B1506.B1507房地产，为北京远望创业投资有限公司所有。根据《国有土地使用证》[]，估价对象（分摊）出让国有建设用地使用权面积为0平方米，建筑面积为170.67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B1501.B1502.B1503.B1505.B1506.B1507房地产,属北京远望创业投资有限公司开发建设的办公项目，该项目尚在开发建设中。根据《国有土地使用证》[]，估价对象（分摊）出让国有建设用地使用权面积为0平方米，规划建筑面积为170.67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慧忠路5号B1501.B1502.B1503.B1505.B1506.B1507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3453</v>
      </c>
      <c r="D1" s="1271" t="s">
        <v>43</v>
      </c>
      <c r="E1" s="1272" t="s">
        <v>678</v>
      </c>
      <c r="F1" s="999" t="e">
        <f ca="1">J53</f>
        <v>#N/A</v>
      </c>
      <c r="G1" s="1286"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#N/A</v>
      </c>
      <c r="C2" s="1289" t="s">
        <v>879</v>
      </c>
      <c r="D2" s="1375" t="e">
        <f ca="1">C40+J29+L46</f>
        <v>#N/A</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415" t="s">
        <v>694</v>
      </c>
      <c r="C6" s="1011" t="e">
        <f ca="1">ROUND(F6*F8*F7*(1-F9),0)</f>
        <v>#N/A</v>
      </c>
      <c r="D6" s="147" t="s">
        <v>2101</v>
      </c>
      <c r="E6" s="294" t="s">
        <v>696</v>
      </c>
      <c r="F6" s="295" t="e">
        <f ca="1">INDIRECT("'数据-取费表'!u"&amp;$G$1)</f>
        <v>#N/A</v>
      </c>
      <c r="G6" s="1292"/>
      <c r="H6" s="1006" t="s">
        <v>398</v>
      </c>
      <c r="I6" s="3415" t="s">
        <v>694</v>
      </c>
      <c r="J6" s="293" t="e">
        <f ca="1">ROUND(M6*M8*M7*(1-M9),0)</f>
        <v>#N/A</v>
      </c>
      <c r="K6" s="1284" t="s">
        <v>2102</v>
      </c>
      <c r="L6" s="294" t="s">
        <v>696</v>
      </c>
      <c r="M6" s="295" t="e">
        <f ca="1">INDIRECT("'数据-取费表'!z"&amp;$G$1)</f>
        <v>#N/A</v>
      </c>
    </row>
    <row r="7" spans="1:37" ht="18" customHeight="1">
      <c r="A7" s="1010"/>
      <c r="B7" s="3416"/>
      <c r="C7" s="1012"/>
      <c r="D7" s="299"/>
      <c r="E7" s="1013" t="s">
        <v>697</v>
      </c>
      <c r="F7" s="295" t="e">
        <f ca="1">IF(INDIRECT("'数据-取费表'!ah"&amp;$G$1)="",INDIRECT("'数据-取费表'!k"&amp;$G$1),INDIRECT("'数据-取费表'!ah"&amp;$G$1))</f>
        <v>#N/A</v>
      </c>
      <c r="G7" s="1292"/>
      <c r="H7" s="296"/>
      <c r="I7" s="3416"/>
      <c r="J7" s="298"/>
      <c r="K7" s="299"/>
      <c r="L7" s="294" t="s">
        <v>697</v>
      </c>
      <c r="M7" s="295" t="e">
        <f ca="1">F7</f>
        <v>#N/A</v>
      </c>
    </row>
    <row r="8" spans="1:37" ht="18" customHeight="1">
      <c r="A8" s="296"/>
      <c r="B8" s="3416"/>
      <c r="C8" s="298"/>
      <c r="D8" s="299"/>
      <c r="E8" s="294" t="s">
        <v>698</v>
      </c>
      <c r="F8" s="295" t="e">
        <f ca="1">INDIRECT("'数据-取费表'!ai"&amp;$G$1)</f>
        <v>#N/A</v>
      </c>
      <c r="G8" s="1292"/>
      <c r="H8" s="296"/>
      <c r="I8" s="3416"/>
      <c r="J8" s="298"/>
      <c r="K8" s="299"/>
      <c r="L8" s="294" t="s">
        <v>698</v>
      </c>
      <c r="M8" s="295" t="e">
        <f ca="1">INDIRECT("'数据-取费表'!ai"&amp;$G$1)</f>
        <v>#N/A</v>
      </c>
    </row>
    <row r="9" spans="1:37" ht="18" customHeight="1">
      <c r="A9" s="296"/>
      <c r="B9" s="3417"/>
      <c r="C9" s="298"/>
      <c r="D9" s="299"/>
      <c r="E9" s="294" t="s">
        <v>699</v>
      </c>
      <c r="F9" s="304" t="e">
        <f ca="1">INDIRECT("'数据-取费表'!w"&amp;$G$1)</f>
        <v>#N/A</v>
      </c>
      <c r="G9" s="1292"/>
      <c r="H9" s="296"/>
      <c r="I9" s="3417"/>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2111</v>
      </c>
      <c r="E10" s="305" t="s">
        <v>701</v>
      </c>
      <c r="F10" s="1053" t="s">
        <v>3454</v>
      </c>
      <c r="G10" s="1292"/>
      <c r="H10" s="1006" t="s">
        <v>402</v>
      </c>
      <c r="I10" s="1274" t="s">
        <v>700</v>
      </c>
      <c r="J10" s="293">
        <f ca="1">ROUND(IF(M10="押一",J6/12*M11,IF(M10="押二",J6/12*2*M11,IF(M10="押三",J6/12*3*M11,J11*M11))),0)</f>
        <v>0</v>
      </c>
      <c r="K10" s="1285" t="s">
        <v>2113</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0.06</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9" t="e">
        <f ca="1">ROUND(IF(AND(项目基本情况!B11="自然人",项目基本情况!B10="北京市"),J6*M17/(1+'数据-取费表'!C42),J18+J19+J20),0)</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3331</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8" t="s">
        <v>398</v>
      </c>
      <c r="B31" s="294" t="s">
        <v>719</v>
      </c>
      <c r="C31" s="2139" t="e">
        <f ca="1">ROUND(IF(AND(项目基本情况!B11="自然人",项目基本情况!B10="北京市"),C6*F31/(1+'数据-取费表'!C42),C32+C33+C34),0)</f>
        <v>#N/A</v>
      </c>
      <c r="D31" s="1257" t="s">
        <v>720</v>
      </c>
      <c r="E31" s="1256" t="s">
        <v>770</v>
      </c>
      <c r="F31" s="2138" t="str">
        <f>IF(项目基本情况!B11="企业","——",IF(M47="住宅",IF(F6*F7*F8/12/(1+'数据-取费表'!F30)&gt;100000,4%,2.5%),IF(F6*F7*F8/12/(1+'数据-取费表'!F30)&gt;100000,12%,7%)))</f>
        <v>——</v>
      </c>
      <c r="G31" s="1292"/>
      <c r="H31" s="2566" t="s">
        <v>2301</v>
      </c>
      <c r="I31" s="1305"/>
      <c r="J31" s="1306"/>
      <c r="K31" s="121"/>
      <c r="L31" s="2468"/>
      <c r="M31" s="2469"/>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3331</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IF(项目基本情况!B11="自然人","——",ROUND(F34*F35,0))</f>
        <v>#N/A</v>
      </c>
      <c r="D34" s="316" t="s">
        <v>731</v>
      </c>
      <c r="E34" s="294" t="s">
        <v>732</v>
      </c>
      <c r="F34" s="317">
        <f>'数据-取费表'!B52</f>
        <v>12</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ROUND(C29*F36,0)</f>
        <v>#N/A</v>
      </c>
      <c r="D36" s="1256" t="s">
        <v>771</v>
      </c>
      <c r="E36" s="294" t="s">
        <v>712</v>
      </c>
      <c r="F36" s="320" t="e">
        <f ca="1">INDIRECT("'数据-取费表'!Ak"&amp;$G$1)</f>
        <v>#N/A</v>
      </c>
      <c r="G36" s="1292"/>
      <c r="H36" s="2470"/>
      <c r="I36" s="1305"/>
      <c r="J36" s="1306"/>
      <c r="K36" s="2329"/>
      <c r="L36" s="2470"/>
      <c r="M36" s="2470"/>
    </row>
    <row r="37" spans="1:18" ht="18" customHeight="1">
      <c r="A37" s="928" t="s">
        <v>437</v>
      </c>
      <c r="B37" s="294" t="s">
        <v>742</v>
      </c>
      <c r="C37" s="21" t="e">
        <f ca="1">ROUND(C13*F37,0)</f>
        <v>#N/A</v>
      </c>
      <c r="D37" s="1256" t="s">
        <v>743</v>
      </c>
      <c r="E37" s="294" t="s">
        <v>744</v>
      </c>
      <c r="F37" s="321" t="e">
        <f ca="1">INDIRECT("'数据-取费表'!Al"&amp;$G$1)</f>
        <v>#N/A</v>
      </c>
      <c r="G37" s="1292"/>
      <c r="H37" s="2470"/>
      <c r="I37" s="1305"/>
      <c r="J37" s="1306"/>
      <c r="K37" s="2329"/>
      <c r="L37" s="2470"/>
      <c r="M37" s="2470"/>
    </row>
    <row r="38" spans="1:18" ht="18" customHeight="1" thickBot="1">
      <c r="A38" s="1026" t="s">
        <v>684</v>
      </c>
      <c r="B38" s="1027" t="s">
        <v>728</v>
      </c>
      <c r="C38" s="1028" t="e">
        <f ca="1">ROUND(C5*F38,0)</f>
        <v>#N/A</v>
      </c>
      <c r="D38" s="1029" t="s">
        <v>748</v>
      </c>
      <c r="E38" s="1027" t="s">
        <v>744</v>
      </c>
      <c r="F38" s="1023" t="e">
        <f ca="1">INDIRECT("'数据-取费表'!Am"&amp;$G$1)</f>
        <v>#N/A</v>
      </c>
      <c r="G38" s="1292"/>
      <c r="H38" s="2470"/>
      <c r="I38" s="1305"/>
      <c r="J38" s="1306"/>
      <c r="K38" s="2468"/>
      <c r="L38" s="2470"/>
      <c r="M38" s="2470"/>
    </row>
    <row r="39" spans="1:18" ht="24.6" customHeight="1" thickTop="1">
      <c r="A39" s="1016" t="s">
        <v>394</v>
      </c>
      <c r="B39" s="1031" t="s">
        <v>772</v>
      </c>
      <c r="C39" s="302" t="e">
        <f ca="1">C5-C30</f>
        <v>#N/A</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t="e">
        <f ca="1">C39/C5</f>
        <v>#N/A</v>
      </c>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3347</v>
      </c>
      <c r="B45" s="1307"/>
      <c r="C45" s="1376" t="e">
        <f ca="1">ROUND((C68-C40)/10000,4)</f>
        <v>#N/A</v>
      </c>
      <c r="D45" s="3127" t="s">
        <v>3348</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3455</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3456</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2000</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35</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2114</v>
      </c>
      <c r="E53" s="305" t="s">
        <v>701</v>
      </c>
      <c r="F53" s="1053"/>
      <c r="I53" s="1344" t="s">
        <v>836</v>
      </c>
      <c r="J53" s="2005" t="e">
        <f ca="1">IF(M47="住宅",IF(D1="——",MAX(J51,L48),MAX(J51,L48-'数据-取费表'!B24)),IF(D1="——",MIN(J51,L48),MIN(J51,L48-'数据-取费表'!B24)))</f>
        <v>#N/A</v>
      </c>
      <c r="K53" s="3413" t="s">
        <v>837</v>
      </c>
      <c r="L53" s="3414"/>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3441</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3331</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12</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J11">
    <cfRule type="expression" dxfId="101" priority="2">
      <formula>$M$10="自定义"</formula>
    </cfRule>
  </conditionalFormatting>
  <conditionalFormatting sqref="K55 K60">
    <cfRule type="expression" dxfId="10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2430</v>
      </c>
      <c r="B1" s="2580"/>
      <c r="C1" s="2592"/>
      <c r="D1" s="2592"/>
      <c r="E1" s="2581"/>
      <c r="F1" s="2582"/>
      <c r="G1" s="2583"/>
      <c r="J1" s="2586" t="s">
        <v>2309</v>
      </c>
      <c r="K1" s="2587"/>
      <c r="L1" s="2587"/>
      <c r="M1" s="2587"/>
      <c r="N1" s="2587"/>
      <c r="O1" s="2587"/>
      <c r="P1" s="2587"/>
      <c r="Q1" s="2587"/>
      <c r="R1" s="2588"/>
      <c r="S1" s="2589"/>
      <c r="T1" s="2589"/>
      <c r="U1" s="2589"/>
    </row>
    <row r="2" spans="1:22" s="2601" customFormat="1" ht="13.2" customHeight="1">
      <c r="A2" s="1293" t="s">
        <v>2310</v>
      </c>
      <c r="B2" s="2591" t="e">
        <f>IF(D2="——",C40,C40+E2)</f>
        <v>#DIV/0!</v>
      </c>
      <c r="C2" s="2592" t="s">
        <v>2311</v>
      </c>
      <c r="D2" s="3135" t="s">
        <v>3354</v>
      </c>
      <c r="E2" s="3136"/>
      <c r="F2" s="2594"/>
      <c r="G2" s="2595"/>
      <c r="H2" s="2596"/>
      <c r="I2" s="2597"/>
      <c r="J2" s="3449" t="s">
        <v>2312</v>
      </c>
      <c r="K2" s="3450"/>
      <c r="L2" s="2598" t="s">
        <v>2313</v>
      </c>
      <c r="M2" s="2598" t="s">
        <v>2314</v>
      </c>
      <c r="N2" s="2598" t="s">
        <v>2315</v>
      </c>
      <c r="O2" s="2598" t="s">
        <v>2316</v>
      </c>
      <c r="P2" s="2598" t="s">
        <v>2317</v>
      </c>
      <c r="Q2" s="2599" t="s">
        <v>2318</v>
      </c>
      <c r="R2" s="2600" t="s">
        <v>2319</v>
      </c>
      <c r="S2" s="2589"/>
      <c r="T2" s="2589"/>
      <c r="U2" s="2589"/>
      <c r="V2" s="2597"/>
    </row>
    <row r="3" spans="1:22" s="2601" customFormat="1" ht="13.2" customHeight="1">
      <c r="A3" s="2602" t="s">
        <v>2320</v>
      </c>
      <c r="B3" s="2603" t="e">
        <f>ROUND(B2*10000/B4,0)</f>
        <v>#DIV/0!</v>
      </c>
      <c r="C3" s="2592" t="s">
        <v>2321</v>
      </c>
      <c r="D3" s="2592"/>
      <c r="E3" s="2593"/>
      <c r="F3" s="2594"/>
      <c r="G3" s="2595"/>
      <c r="H3" s="2596"/>
      <c r="I3" s="2597"/>
      <c r="J3" s="3451" t="s">
        <v>2322</v>
      </c>
      <c r="K3" s="3452"/>
      <c r="L3" s="2604"/>
      <c r="M3" s="2604"/>
      <c r="N3" s="2604"/>
      <c r="O3" s="2604"/>
      <c r="P3" s="2604"/>
      <c r="Q3" s="2605"/>
      <c r="R3" s="2606">
        <f>SUM(L3:Q3)</f>
        <v>0</v>
      </c>
      <c r="S3" s="2589"/>
      <c r="T3" s="2589"/>
      <c r="U3" s="2589"/>
      <c r="V3" s="2597"/>
    </row>
    <row r="4" spans="1:22" s="2601" customFormat="1" ht="13.2" customHeight="1">
      <c r="A4" s="2607" t="s">
        <v>2323</v>
      </c>
      <c r="B4" s="2608"/>
      <c r="C4" s="2592"/>
      <c r="D4" s="2592"/>
      <c r="E4" s="2593"/>
      <c r="F4" s="2594"/>
      <c r="G4" s="2595"/>
      <c r="H4" s="2596"/>
      <c r="I4" s="2597"/>
      <c r="J4" s="3451" t="s">
        <v>2324</v>
      </c>
      <c r="K4" s="3452"/>
      <c r="L4" s="2609"/>
      <c r="M4" s="2609"/>
      <c r="N4" s="2609"/>
      <c r="O4" s="2609"/>
      <c r="P4" s="2609"/>
      <c r="Q4" s="2610"/>
      <c r="R4" s="2611">
        <f>SUM(L4:Q4)</f>
        <v>0</v>
      </c>
      <c r="S4" s="2589"/>
      <c r="T4" s="2589"/>
      <c r="U4" s="2589"/>
      <c r="V4" s="2597"/>
    </row>
    <row r="5" spans="1:22" s="2601" customFormat="1" ht="13.2" customHeight="1" thickBot="1">
      <c r="A5" s="2612" t="s">
        <v>2325</v>
      </c>
      <c r="B5" s="2613"/>
      <c r="C5" s="2592"/>
      <c r="D5" s="2614"/>
      <c r="E5" s="2594"/>
      <c r="F5" s="2594"/>
      <c r="G5" s="2595"/>
      <c r="H5" s="2596"/>
      <c r="I5" s="2597"/>
      <c r="J5" s="2615" t="s">
        <v>2326</v>
      </c>
      <c r="K5" s="2616"/>
      <c r="L5" s="2616"/>
      <c r="M5" s="2617"/>
      <c r="N5" s="2617"/>
      <c r="O5" s="2617"/>
      <c r="P5" s="2617"/>
      <c r="Q5" s="2617"/>
      <c r="R5" s="2600">
        <f>SUM(R14,R19,R24,R25,R27,R28)</f>
        <v>0</v>
      </c>
      <c r="S5" s="2589"/>
      <c r="T5" s="2589" t="s">
        <v>2327</v>
      </c>
      <c r="U5" s="2589" t="e">
        <f>ROUND(R5*10000/365/R3,1)</f>
        <v>#DIV/0!</v>
      </c>
      <c r="V5" s="2597"/>
    </row>
    <row r="6" spans="1:22" s="2601" customFormat="1" ht="13.2" customHeight="1" thickBot="1">
      <c r="A6" s="3457" t="s">
        <v>2328</v>
      </c>
      <c r="B6" s="3458"/>
      <c r="C6" s="3459"/>
      <c r="D6" s="2618"/>
      <c r="E6" s="2619"/>
      <c r="F6" s="2620"/>
      <c r="G6" s="2621"/>
      <c r="H6" s="2596"/>
      <c r="I6" s="2597"/>
      <c r="J6" s="3443">
        <v>1</v>
      </c>
      <c r="K6" s="3444" t="s">
        <v>2329</v>
      </c>
      <c r="L6" s="2622" t="s">
        <v>2330</v>
      </c>
      <c r="M6" s="2623" t="s">
        <v>2331</v>
      </c>
      <c r="N6" s="2623" t="s">
        <v>2332</v>
      </c>
      <c r="O6" s="2623" t="s">
        <v>2333</v>
      </c>
      <c r="P6" s="2623" t="s">
        <v>2334</v>
      </c>
      <c r="Q6" s="2623" t="s">
        <v>2335</v>
      </c>
      <c r="R6" s="2606" t="s">
        <v>2336</v>
      </c>
      <c r="S6" s="2589"/>
      <c r="T6" s="2589" t="s">
        <v>2337</v>
      </c>
      <c r="U6" s="2589"/>
      <c r="V6" s="2597"/>
    </row>
    <row r="7" spans="1:22" s="2601" customFormat="1" ht="13.2" customHeight="1">
      <c r="A7" s="2624" t="s">
        <v>2338</v>
      </c>
      <c r="B7" s="2625"/>
      <c r="C7" s="2626"/>
      <c r="D7" s="2627">
        <f>SUM(D9,D10,D11,D17,0)</f>
        <v>0</v>
      </c>
      <c r="E7" s="2628" t="e">
        <f>E9+E10+E11+E17</f>
        <v>#DIV/0!</v>
      </c>
      <c r="F7" s="2629"/>
      <c r="G7" s="2630"/>
      <c r="H7" s="2596"/>
      <c r="I7" s="2597"/>
      <c r="J7" s="3443"/>
      <c r="K7" s="3445"/>
      <c r="L7" s="2631" t="s">
        <v>2339</v>
      </c>
      <c r="M7" s="2632"/>
      <c r="N7" s="2608"/>
      <c r="O7" s="2633"/>
      <c r="P7" s="2633"/>
      <c r="Q7" s="2634">
        <v>365</v>
      </c>
      <c r="R7" s="2635">
        <f>ROUND(M7*N7*O7*P7*Q7/10000,0)</f>
        <v>0</v>
      </c>
      <c r="S7" s="2589"/>
      <c r="T7" s="2589" t="s">
        <v>2340</v>
      </c>
      <c r="U7" s="2589"/>
      <c r="V7" s="2597"/>
    </row>
    <row r="8" spans="1:22" s="2601" customFormat="1" ht="13.2" customHeight="1">
      <c r="A8" s="2636" t="s">
        <v>2341</v>
      </c>
      <c r="B8" s="3460" t="s">
        <v>2342</v>
      </c>
      <c r="C8" s="3461"/>
      <c r="D8" s="2637" t="s">
        <v>2343</v>
      </c>
      <c r="E8" s="2638" t="s">
        <v>2344</v>
      </c>
      <c r="F8" s="2639" t="s">
        <v>2345</v>
      </c>
      <c r="G8" s="2640"/>
      <c r="H8" s="2596"/>
      <c r="I8" s="2597"/>
      <c r="J8" s="3443"/>
      <c r="K8" s="3445"/>
      <c r="L8" s="2631" t="s">
        <v>2346</v>
      </c>
      <c r="M8" s="2632"/>
      <c r="N8" s="2608"/>
      <c r="O8" s="2633"/>
      <c r="P8" s="2633"/>
      <c r="Q8" s="2634">
        <v>365</v>
      </c>
      <c r="R8" s="2635">
        <f t="shared" ref="R8:R13" si="0">ROUND(M8*N8*O8*P8*Q8/10000,0)</f>
        <v>0</v>
      </c>
      <c r="S8" s="2589"/>
      <c r="T8" s="2589" t="s">
        <v>2347</v>
      </c>
      <c r="U8" s="2589"/>
      <c r="V8" s="2597"/>
    </row>
    <row r="9" spans="1:22" s="2601" customFormat="1" ht="13.2" customHeight="1">
      <c r="A9" s="2636">
        <v>1</v>
      </c>
      <c r="B9" s="3460" t="s">
        <v>2348</v>
      </c>
      <c r="C9" s="3461"/>
      <c r="D9" s="2637">
        <f>ROUND(D6*E9,0)</f>
        <v>0</v>
      </c>
      <c r="E9" s="2641"/>
      <c r="F9" s="2642" t="s">
        <v>2349</v>
      </c>
      <c r="G9" s="2621"/>
      <c r="H9" s="2596"/>
      <c r="I9" s="2597"/>
      <c r="J9" s="3443"/>
      <c r="K9" s="3445"/>
      <c r="L9" s="2631" t="s">
        <v>2350</v>
      </c>
      <c r="M9" s="2632"/>
      <c r="N9" s="2608"/>
      <c r="O9" s="2633"/>
      <c r="P9" s="2633"/>
      <c r="Q9" s="2634">
        <v>365</v>
      </c>
      <c r="R9" s="2635">
        <f t="shared" si="0"/>
        <v>0</v>
      </c>
      <c r="S9" s="2589"/>
      <c r="T9" s="2589"/>
      <c r="U9" s="2589"/>
      <c r="V9" s="2597"/>
    </row>
    <row r="10" spans="1:22" s="2601" customFormat="1" ht="13.2" customHeight="1">
      <c r="A10" s="2636">
        <v>2</v>
      </c>
      <c r="B10" s="3460" t="s">
        <v>2351</v>
      </c>
      <c r="C10" s="3461"/>
      <c r="D10" s="2637">
        <f>ROUND(D6*E10,0)</f>
        <v>0</v>
      </c>
      <c r="E10" s="2641"/>
      <c r="F10" s="2642" t="s">
        <v>2352</v>
      </c>
      <c r="G10" s="2621"/>
      <c r="H10" s="2596"/>
      <c r="I10" s="2597"/>
      <c r="J10" s="3443"/>
      <c r="K10" s="3445"/>
      <c r="L10" s="2631" t="s">
        <v>2353</v>
      </c>
      <c r="M10" s="2632"/>
      <c r="N10" s="2608"/>
      <c r="O10" s="2633"/>
      <c r="P10" s="2633"/>
      <c r="Q10" s="2634">
        <v>365</v>
      </c>
      <c r="R10" s="2635">
        <f t="shared" si="0"/>
        <v>0</v>
      </c>
      <c r="S10" s="2589"/>
      <c r="T10" s="2589"/>
      <c r="U10" s="2589"/>
      <c r="V10" s="2597"/>
    </row>
    <row r="11" spans="1:22" s="2601" customFormat="1" ht="13.2" customHeight="1">
      <c r="A11" s="2636">
        <v>3</v>
      </c>
      <c r="B11" s="3460" t="s">
        <v>2354</v>
      </c>
      <c r="C11" s="3461"/>
      <c r="D11" s="2637">
        <f>D12+D14+D15+D16</f>
        <v>0</v>
      </c>
      <c r="E11" s="2643" t="e">
        <f>D11/D6</f>
        <v>#DIV/0!</v>
      </c>
      <c r="F11" s="2639"/>
      <c r="G11" s="2640"/>
      <c r="H11" s="2596"/>
      <c r="I11" s="2597"/>
      <c r="J11" s="3443"/>
      <c r="K11" s="3445"/>
      <c r="L11" s="2631" t="s">
        <v>2355</v>
      </c>
      <c r="M11" s="2632"/>
      <c r="N11" s="2608"/>
      <c r="O11" s="2633"/>
      <c r="P11" s="2633"/>
      <c r="Q11" s="2634">
        <v>365</v>
      </c>
      <c r="R11" s="2635">
        <f t="shared" si="0"/>
        <v>0</v>
      </c>
      <c r="S11" s="2589"/>
      <c r="T11" s="2589"/>
      <c r="U11" s="2589"/>
      <c r="V11" s="2597"/>
    </row>
    <row r="12" spans="1:22" s="2601" customFormat="1" ht="13.2" customHeight="1">
      <c r="A12" s="2644" t="s">
        <v>2356</v>
      </c>
      <c r="B12" s="3453" t="s">
        <v>2357</v>
      </c>
      <c r="C12" s="3454"/>
      <c r="D12" s="2645">
        <f>ROUND(D13*1.2%*(1-30%),0)</f>
        <v>0</v>
      </c>
      <c r="E12" s="2646">
        <v>1.2E-2</v>
      </c>
      <c r="F12" s="2639" t="s">
        <v>2358</v>
      </c>
      <c r="G12" s="2640"/>
      <c r="H12" s="2596"/>
      <c r="I12" s="2597"/>
      <c r="J12" s="3443"/>
      <c r="K12" s="3445"/>
      <c r="L12" s="2631" t="s">
        <v>2359</v>
      </c>
      <c r="M12" s="2632"/>
      <c r="N12" s="2608"/>
      <c r="O12" s="2633"/>
      <c r="P12" s="2633"/>
      <c r="Q12" s="2634">
        <v>365</v>
      </c>
      <c r="R12" s="2635">
        <f t="shared" si="0"/>
        <v>0</v>
      </c>
      <c r="S12" s="2589"/>
      <c r="T12" s="2589"/>
      <c r="U12" s="2589"/>
      <c r="V12" s="2597"/>
    </row>
    <row r="13" spans="1:22" s="2601" customFormat="1" ht="13.2" customHeight="1">
      <c r="A13" s="2644"/>
      <c r="B13" s="2647"/>
      <c r="C13" s="2648" t="s">
        <v>2360</v>
      </c>
      <c r="D13" s="2649"/>
      <c r="E13" s="2650"/>
      <c r="F13" s="2639"/>
      <c r="G13" s="2640"/>
      <c r="H13" s="2596"/>
      <c r="I13" s="2597"/>
      <c r="J13" s="3443"/>
      <c r="K13" s="3445"/>
      <c r="L13" s="2631" t="s">
        <v>2361</v>
      </c>
      <c r="M13" s="2632"/>
      <c r="N13" s="2608"/>
      <c r="O13" s="2633"/>
      <c r="P13" s="2633"/>
      <c r="Q13" s="2634">
        <v>365</v>
      </c>
      <c r="R13" s="2635">
        <f t="shared" si="0"/>
        <v>0</v>
      </c>
      <c r="S13" s="2589"/>
      <c r="T13" s="2589"/>
      <c r="U13" s="2589"/>
      <c r="V13" s="2597"/>
    </row>
    <row r="14" spans="1:22" s="2601" customFormat="1" ht="13.2" customHeight="1">
      <c r="A14" s="2644" t="s">
        <v>2362</v>
      </c>
      <c r="B14" s="3453" t="s">
        <v>2363</v>
      </c>
      <c r="C14" s="3454"/>
      <c r="D14" s="2645">
        <f>ROUND(E14*B5/10000,0)</f>
        <v>0</v>
      </c>
      <c r="E14" s="2634"/>
      <c r="F14" s="2639" t="s">
        <v>2364</v>
      </c>
      <c r="G14" s="2640"/>
      <c r="H14" s="2596"/>
      <c r="I14" s="2597"/>
      <c r="J14" s="3443"/>
      <c r="K14" s="3446"/>
      <c r="L14" s="2651" t="s">
        <v>2365</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2366</v>
      </c>
      <c r="B15" s="3453" t="s">
        <v>2367</v>
      </c>
      <c r="C15" s="3454"/>
      <c r="D15" s="2645">
        <f>ROUND(D6*E15,0)</f>
        <v>0</v>
      </c>
      <c r="E15" s="2646">
        <v>5.5E-2</v>
      </c>
      <c r="F15" s="2639" t="s">
        <v>2368</v>
      </c>
      <c r="G15" s="2621"/>
      <c r="H15" s="2596"/>
      <c r="I15" s="2597"/>
      <c r="J15" s="3443">
        <v>2</v>
      </c>
      <c r="K15" s="3444" t="s">
        <v>2369</v>
      </c>
      <c r="L15" s="2631" t="s">
        <v>2370</v>
      </c>
      <c r="M15" s="2632" t="s">
        <v>2371</v>
      </c>
      <c r="N15" s="2632" t="s">
        <v>2372</v>
      </c>
      <c r="O15" s="2633" t="s">
        <v>2373</v>
      </c>
      <c r="P15" s="2633" t="s">
        <v>2335</v>
      </c>
      <c r="Q15" s="2608" t="s">
        <v>2374</v>
      </c>
      <c r="R15" s="2655" t="s">
        <v>2336</v>
      </c>
      <c r="S15" s="2589"/>
      <c r="T15" s="2589"/>
      <c r="U15" s="2589"/>
      <c r="V15" s="2597"/>
    </row>
    <row r="16" spans="1:22" s="2601" customFormat="1" ht="13.2" customHeight="1">
      <c r="A16" s="2644" t="s">
        <v>2375</v>
      </c>
      <c r="B16" s="3453" t="s">
        <v>2376</v>
      </c>
      <c r="C16" s="3454"/>
      <c r="D16" s="2656">
        <f>D6*E16</f>
        <v>0</v>
      </c>
      <c r="E16" s="2657"/>
      <c r="F16" s="2642" t="s">
        <v>2377</v>
      </c>
      <c r="G16" s="2621"/>
      <c r="H16" s="2596"/>
      <c r="I16" s="2597"/>
      <c r="J16" s="3443"/>
      <c r="K16" s="3445"/>
      <c r="L16" s="2631" t="s">
        <v>2378</v>
      </c>
      <c r="M16" s="2632"/>
      <c r="N16" s="2632"/>
      <c r="O16" s="2633"/>
      <c r="P16" s="2634">
        <v>365</v>
      </c>
      <c r="Q16" s="2608"/>
      <c r="R16" s="2655">
        <f>ROUND(M16*N16*O16*P16/10000,0)</f>
        <v>0</v>
      </c>
      <c r="S16" s="2589"/>
      <c r="T16" s="2589"/>
      <c r="U16" s="2589"/>
      <c r="V16" s="2597"/>
    </row>
    <row r="17" spans="1:22" s="2601" customFormat="1" ht="13.2" customHeight="1" thickBot="1">
      <c r="A17" s="2658">
        <v>4</v>
      </c>
      <c r="B17" s="3455" t="s">
        <v>2379</v>
      </c>
      <c r="C17" s="3456"/>
      <c r="D17" s="2659">
        <f>ROUND(D6*E17,0)</f>
        <v>0</v>
      </c>
      <c r="E17" s="2660"/>
      <c r="F17" s="2661" t="s">
        <v>2380</v>
      </c>
      <c r="G17" s="2621"/>
      <c r="H17" s="2596"/>
      <c r="I17" s="2597"/>
      <c r="J17" s="3443"/>
      <c r="K17" s="3445"/>
      <c r="L17" s="2631" t="s">
        <v>2381</v>
      </c>
      <c r="M17" s="2632"/>
      <c r="N17" s="2632"/>
      <c r="O17" s="2633"/>
      <c r="P17" s="2634">
        <v>365</v>
      </c>
      <c r="Q17" s="2608"/>
      <c r="R17" s="2655">
        <f>ROUND(M17*N17*O17*P17/10000,0)</f>
        <v>0</v>
      </c>
      <c r="S17" s="2589"/>
      <c r="T17" s="2589"/>
      <c r="U17" s="2589"/>
      <c r="V17" s="2597"/>
    </row>
    <row r="18" spans="1:22" s="2601" customFormat="1" ht="13.2" customHeight="1" thickBot="1">
      <c r="A18" s="2624" t="s">
        <v>2382</v>
      </c>
      <c r="B18" s="2625"/>
      <c r="C18" s="2625"/>
      <c r="D18" s="2662">
        <f>ROUND(D6*E18,0)</f>
        <v>0</v>
      </c>
      <c r="E18" s="2663"/>
      <c r="F18" s="2664" t="s">
        <v>2383</v>
      </c>
      <c r="G18" s="2621"/>
      <c r="H18" s="2596"/>
      <c r="I18" s="2597"/>
      <c r="J18" s="3443"/>
      <c r="K18" s="3445"/>
      <c r="L18" s="2631" t="s">
        <v>2384</v>
      </c>
      <c r="M18" s="2632"/>
      <c r="N18" s="2632"/>
      <c r="O18" s="2633"/>
      <c r="P18" s="2634">
        <v>365</v>
      </c>
      <c r="Q18" s="2608"/>
      <c r="R18" s="2655">
        <f>ROUND(M18*N18*O18*P18/10000,0)</f>
        <v>0</v>
      </c>
      <c r="S18" s="2589"/>
      <c r="T18" s="2589"/>
      <c r="U18" s="2589"/>
      <c r="V18" s="2597"/>
    </row>
    <row r="19" spans="1:22" s="2601" customFormat="1" ht="13.2" customHeight="1" thickBot="1">
      <c r="A19" s="2665" t="s">
        <v>2385</v>
      </c>
      <c r="B19" s="2619"/>
      <c r="C19" s="2619"/>
      <c r="D19" s="2619"/>
      <c r="E19" s="2619"/>
      <c r="F19" s="2620"/>
      <c r="G19" s="2640"/>
      <c r="H19" s="2596"/>
      <c r="I19" s="2597"/>
      <c r="J19" s="3443"/>
      <c r="K19" s="3446"/>
      <c r="L19" s="2651" t="s">
        <v>2365</v>
      </c>
      <c r="M19" s="2652"/>
      <c r="N19" s="2652">
        <f>SUM(N16:N18)</f>
        <v>0</v>
      </c>
      <c r="O19" s="2653"/>
      <c r="P19" s="2666" t="s">
        <v>2429</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3">
        <v>3</v>
      </c>
      <c r="K20" s="3444" t="s">
        <v>2386</v>
      </c>
      <c r="L20" s="2631" t="s">
        <v>2387</v>
      </c>
      <c r="M20" s="2632" t="s">
        <v>2388</v>
      </c>
      <c r="N20" s="2669" t="s">
        <v>2389</v>
      </c>
      <c r="O20" s="2633" t="s">
        <v>2390</v>
      </c>
      <c r="P20" s="2634" t="s">
        <v>2391</v>
      </c>
      <c r="Q20" s="2608" t="s">
        <v>2392</v>
      </c>
      <c r="R20" s="2655" t="s">
        <v>2393</v>
      </c>
      <c r="S20" s="2589"/>
      <c r="T20" s="2589"/>
      <c r="U20" s="2589"/>
      <c r="V20" s="2597"/>
    </row>
    <row r="21" spans="1:22" s="2601" customFormat="1" ht="13.2" customHeight="1">
      <c r="A21" s="2624"/>
      <c r="B21" s="2625"/>
      <c r="C21" s="2670" t="s">
        <v>2394</v>
      </c>
      <c r="D21" s="2671" t="s">
        <v>2395</v>
      </c>
      <c r="E21" s="2672" t="s">
        <v>2396</v>
      </c>
      <c r="F21" s="2668"/>
      <c r="G21" s="2640"/>
      <c r="H21" s="2596"/>
      <c r="I21" s="2597"/>
      <c r="J21" s="3443"/>
      <c r="K21" s="3445"/>
      <c r="L21" s="2631" t="s">
        <v>2397</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2398</v>
      </c>
      <c r="D22" s="2675" t="s">
        <v>2399</v>
      </c>
      <c r="E22" s="2676" t="s">
        <v>2400</v>
      </c>
      <c r="F22" s="2668"/>
      <c r="G22" s="2589"/>
      <c r="H22" s="2596"/>
      <c r="I22" s="2597"/>
      <c r="J22" s="3443"/>
      <c r="K22" s="3445"/>
      <c r="L22" s="2631" t="s">
        <v>2401</v>
      </c>
      <c r="M22" s="2632"/>
      <c r="N22" s="2632"/>
      <c r="O22" s="2633"/>
      <c r="P22" s="2634">
        <v>365</v>
      </c>
      <c r="Q22" s="2608"/>
      <c r="R22" s="2673">
        <f>ROUND(M22*N22*O22*P22/10000,0)</f>
        <v>0</v>
      </c>
      <c r="S22" s="2589"/>
      <c r="T22" s="2589"/>
      <c r="U22" s="2589"/>
      <c r="V22" s="2597"/>
    </row>
    <row r="23" spans="1:22" s="2601" customFormat="1" ht="13.2" customHeight="1">
      <c r="A23" s="2677">
        <v>1</v>
      </c>
      <c r="B23" s="2678" t="s">
        <v>2402</v>
      </c>
      <c r="C23" s="2679">
        <f>D6</f>
        <v>0</v>
      </c>
      <c r="D23" s="2680">
        <f>C23*(1+D24)</f>
        <v>0</v>
      </c>
      <c r="E23" s="2681">
        <f>D23*(1+E24)</f>
        <v>0</v>
      </c>
      <c r="F23" s="2682"/>
      <c r="G23" s="2683"/>
      <c r="H23" s="2596"/>
      <c r="I23" s="2597"/>
      <c r="J23" s="3443"/>
      <c r="K23" s="3445"/>
      <c r="L23" s="2631" t="s">
        <v>2403</v>
      </c>
      <c r="M23" s="2632"/>
      <c r="N23" s="2632"/>
      <c r="O23" s="2633"/>
      <c r="P23" s="2634">
        <v>365</v>
      </c>
      <c r="Q23" s="2608"/>
      <c r="R23" s="2673">
        <f>ROUND(M23*N23*O23*P23/10000,0)</f>
        <v>0</v>
      </c>
      <c r="S23" s="2589"/>
      <c r="T23" s="2589"/>
      <c r="U23" s="2589"/>
      <c r="V23" s="2597"/>
    </row>
    <row r="24" spans="1:22" s="2601" customFormat="1" ht="13.2" customHeight="1">
      <c r="A24" s="2684"/>
      <c r="B24" s="2685" t="s">
        <v>2404</v>
      </c>
      <c r="C24" s="2686"/>
      <c r="D24" s="2687"/>
      <c r="E24" s="2688"/>
      <c r="F24" s="2689"/>
      <c r="G24" s="2683"/>
      <c r="H24" s="2596"/>
      <c r="I24" s="2597"/>
      <c r="J24" s="3443"/>
      <c r="K24" s="3446"/>
      <c r="L24" s="2651" t="s">
        <v>2365</v>
      </c>
      <c r="M24" s="2652">
        <f>SUM(M21:M23)</f>
        <v>0</v>
      </c>
      <c r="N24" s="2652"/>
      <c r="O24" s="2653"/>
      <c r="P24" s="2666" t="s">
        <v>2429</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2405</v>
      </c>
      <c r="L25" s="2692"/>
      <c r="M25" s="2692"/>
      <c r="N25" s="2692"/>
      <c r="O25" s="2692"/>
      <c r="P25" s="2693"/>
      <c r="Q25" s="2694">
        <v>0</v>
      </c>
      <c r="R25" s="2667">
        <f>ROUND(R14*Q25,0)</f>
        <v>0</v>
      </c>
      <c r="S25" s="2589"/>
      <c r="T25" s="2589"/>
      <c r="U25" s="2589"/>
      <c r="V25" s="2695"/>
    </row>
    <row r="26" spans="1:22" s="2696" customFormat="1" ht="13.2" customHeight="1">
      <c r="A26" s="2677">
        <v>2</v>
      </c>
      <c r="B26" s="2678" t="s">
        <v>2406</v>
      </c>
      <c r="C26" s="2679">
        <f>D7</f>
        <v>0</v>
      </c>
      <c r="D26" s="2680">
        <f>D23*D27</f>
        <v>0</v>
      </c>
      <c r="E26" s="2681">
        <f>E23*E27</f>
        <v>0</v>
      </c>
      <c r="F26" s="2682"/>
      <c r="G26" s="2683"/>
      <c r="H26" s="2596"/>
      <c r="I26" s="2597"/>
      <c r="J26" s="3447">
        <v>5</v>
      </c>
      <c r="K26" s="2697" t="s">
        <v>2407</v>
      </c>
      <c r="L26" s="2698"/>
      <c r="M26" s="2699"/>
      <c r="N26" s="2700" t="s">
        <v>2408</v>
      </c>
      <c r="O26" s="2700" t="s">
        <v>2409</v>
      </c>
      <c r="P26" s="2701" t="s">
        <v>2410</v>
      </c>
      <c r="Q26" s="2701" t="s">
        <v>2411</v>
      </c>
      <c r="R26" s="2606" t="s">
        <v>2336</v>
      </c>
      <c r="S26" s="2640"/>
      <c r="T26" s="2640"/>
      <c r="U26" s="2640"/>
      <c r="V26" s="2695"/>
    </row>
    <row r="27" spans="1:22" s="2601" customFormat="1" ht="13.2" customHeight="1">
      <c r="A27" s="2684"/>
      <c r="B27" s="2685" t="s">
        <v>2412</v>
      </c>
      <c r="C27" s="2702" t="e">
        <f>E7</f>
        <v>#DIV/0!</v>
      </c>
      <c r="D27" s="2687"/>
      <c r="E27" s="2688"/>
      <c r="F27" s="2689"/>
      <c r="G27" s="2683"/>
      <c r="H27" s="2703"/>
      <c r="I27" s="2695"/>
      <c r="J27" s="344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2413</v>
      </c>
      <c r="F28" s="2689"/>
      <c r="G28" s="2589"/>
      <c r="H28" s="2703"/>
      <c r="I28" s="2695"/>
      <c r="J28" s="2709">
        <v>6</v>
      </c>
      <c r="K28" s="2710" t="s">
        <v>2414</v>
      </c>
      <c r="L28" s="2711" t="s">
        <v>2415</v>
      </c>
      <c r="M28" s="2712"/>
      <c r="N28" s="2711" t="s">
        <v>2416</v>
      </c>
      <c r="O28" s="2713"/>
      <c r="P28" s="2711" t="s">
        <v>2417</v>
      </c>
      <c r="Q28" s="2714">
        <v>1.4999999999999999E-2</v>
      </c>
      <c r="R28" s="2715"/>
      <c r="S28" s="2589"/>
      <c r="T28" s="2589"/>
      <c r="U28" s="2589"/>
      <c r="V28" s="2695"/>
    </row>
    <row r="29" spans="1:22" s="2696" customFormat="1" ht="13.2" customHeight="1">
      <c r="A29" s="2677">
        <v>3</v>
      </c>
      <c r="B29" s="2678" t="s">
        <v>2418</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2412</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2419</v>
      </c>
      <c r="K31" s="2587"/>
      <c r="L31" s="2587"/>
      <c r="M31" s="2587"/>
      <c r="N31" s="2587"/>
      <c r="O31" s="2587"/>
      <c r="P31" s="2587"/>
      <c r="Q31" s="2587"/>
      <c r="R31" s="2588"/>
      <c r="S31" s="2589"/>
      <c r="T31" s="2589"/>
      <c r="U31" s="2589"/>
      <c r="V31" s="2695"/>
    </row>
    <row r="32" spans="1:22" s="2696" customFormat="1" ht="13.2" customHeight="1">
      <c r="A32" s="2677">
        <v>4</v>
      </c>
      <c r="B32" s="2678" t="s">
        <v>2420</v>
      </c>
      <c r="C32" s="2679">
        <f>C23-C26-C29</f>
        <v>0</v>
      </c>
      <c r="D32" s="2680">
        <f>D23-D26-D29</f>
        <v>0</v>
      </c>
      <c r="E32" s="2681">
        <f>E23-E26-E29</f>
        <v>0</v>
      </c>
      <c r="F32" s="2682"/>
      <c r="G32" s="2589"/>
      <c r="H32" s="2596"/>
      <c r="I32" s="2597"/>
      <c r="J32" s="3449" t="s">
        <v>2312</v>
      </c>
      <c r="K32" s="3450"/>
      <c r="L32" s="2598" t="s">
        <v>2313</v>
      </c>
      <c r="M32" s="2598" t="s">
        <v>2314</v>
      </c>
      <c r="N32" s="2598" t="s">
        <v>2315</v>
      </c>
      <c r="O32" s="2598" t="s">
        <v>2316</v>
      </c>
      <c r="P32" s="2598" t="s">
        <v>2317</v>
      </c>
      <c r="Q32" s="2599" t="s">
        <v>2318</v>
      </c>
      <c r="R32" s="2718" t="s">
        <v>2319</v>
      </c>
      <c r="S32" s="2589"/>
      <c r="T32" s="2589"/>
      <c r="U32" s="2589"/>
      <c r="V32" s="2695"/>
    </row>
    <row r="33" spans="1:23" s="2601" customFormat="1" ht="13.2" customHeight="1">
      <c r="A33" s="2677"/>
      <c r="B33" s="2678"/>
      <c r="C33" s="2679"/>
      <c r="D33" s="2719"/>
      <c r="E33" s="2720"/>
      <c r="F33" s="2682"/>
      <c r="G33" s="2589"/>
      <c r="H33" s="2703"/>
      <c r="I33" s="2695"/>
      <c r="J33" s="3451" t="s">
        <v>2322</v>
      </c>
      <c r="K33" s="3452"/>
      <c r="L33" s="2604"/>
      <c r="M33" s="2604"/>
      <c r="N33" s="2604"/>
      <c r="O33" s="2604"/>
      <c r="P33" s="2604"/>
      <c r="Q33" s="2605"/>
      <c r="R33" s="2721">
        <f>SUM(L33:Q33)</f>
        <v>0</v>
      </c>
      <c r="S33" s="2589"/>
      <c r="T33" s="2589"/>
      <c r="U33" s="2589"/>
      <c r="V33" s="2597"/>
    </row>
    <row r="34" spans="1:23" s="2601" customFormat="1" ht="13.2" customHeight="1">
      <c r="A34" s="2677">
        <v>5</v>
      </c>
      <c r="B34" s="2678" t="s">
        <v>2421</v>
      </c>
      <c r="C34" s="2722"/>
      <c r="D34" s="2723"/>
      <c r="E34" s="2724"/>
      <c r="F34" s="2682"/>
      <c r="G34" s="2589"/>
      <c r="H34" s="2703"/>
      <c r="I34" s="2695"/>
      <c r="J34" s="3451" t="s">
        <v>2324</v>
      </c>
      <c r="K34" s="345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2422</v>
      </c>
      <c r="C35" s="2726"/>
      <c r="D35" s="2727"/>
      <c r="E35" s="2728"/>
      <c r="F35" s="2682"/>
      <c r="G35" s="2729"/>
      <c r="H35" s="2596"/>
      <c r="I35" s="2695"/>
      <c r="J35" s="2615" t="s">
        <v>2326</v>
      </c>
      <c r="K35" s="2616"/>
      <c r="L35" s="2616"/>
      <c r="M35" s="2617"/>
      <c r="N35" s="2617"/>
      <c r="O35" s="2617"/>
      <c r="P35" s="2617"/>
      <c r="Q35" s="2617"/>
      <c r="R35" s="2730">
        <f>R40+R41+R43</f>
        <v>0</v>
      </c>
      <c r="S35" s="2589"/>
      <c r="T35" s="2589" t="s">
        <v>2327</v>
      </c>
      <c r="U35" s="2589"/>
      <c r="V35" s="2597"/>
    </row>
    <row r="36" spans="1:23" s="2601" customFormat="1" ht="13.2" customHeight="1" thickBot="1">
      <c r="A36" s="2677">
        <v>7</v>
      </c>
      <c r="B36" s="2731" t="s">
        <v>2423</v>
      </c>
      <c r="C36" s="2732"/>
      <c r="D36" s="2733"/>
      <c r="E36" s="2734"/>
      <c r="F36" s="2735">
        <f>C36+D36+E36</f>
        <v>0</v>
      </c>
      <c r="G36" s="2589"/>
      <c r="H36" s="2596"/>
      <c r="I36" s="2597"/>
      <c r="J36" s="3443">
        <v>1</v>
      </c>
      <c r="K36" s="3444" t="s">
        <v>2424</v>
      </c>
      <c r="L36" s="2622"/>
      <c r="M36" s="2623"/>
      <c r="N36" s="2623"/>
      <c r="O36" s="2623"/>
      <c r="P36" s="2623"/>
      <c r="Q36" s="2623"/>
      <c r="R36" s="2606" t="s">
        <v>2336</v>
      </c>
      <c r="S36" s="2589"/>
      <c r="T36" s="2589" t="s">
        <v>2337</v>
      </c>
      <c r="U36" s="2589"/>
      <c r="V36" s="2597"/>
    </row>
    <row r="37" spans="1:23" s="2601" customFormat="1" ht="13.2" customHeight="1">
      <c r="A37" s="2677"/>
      <c r="B37" s="2678"/>
      <c r="C37" s="2678"/>
      <c r="D37" s="2678"/>
      <c r="E37" s="2678"/>
      <c r="F37" s="2682"/>
      <c r="G37" s="2589"/>
      <c r="H37" s="2596"/>
      <c r="I37" s="2597"/>
      <c r="J37" s="3443"/>
      <c r="K37" s="3445"/>
      <c r="L37" s="2631"/>
      <c r="M37" s="2632"/>
      <c r="N37" s="2608"/>
      <c r="O37" s="2633"/>
      <c r="P37" s="2633"/>
      <c r="Q37" s="2634"/>
      <c r="R37" s="2635"/>
      <c r="S37" s="2589"/>
      <c r="T37" s="2589" t="s">
        <v>2340</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3"/>
      <c r="K38" s="3445"/>
      <c r="L38" s="2631"/>
      <c r="M38" s="2632"/>
      <c r="N38" s="2608"/>
      <c r="O38" s="2633"/>
      <c r="P38" s="2633"/>
      <c r="Q38" s="2634"/>
      <c r="R38" s="2635"/>
      <c r="S38" s="2589"/>
      <c r="T38" s="2589" t="s">
        <v>2347</v>
      </c>
      <c r="U38" s="2589"/>
      <c r="V38" s="2597"/>
    </row>
    <row r="39" spans="1:23" s="2601" customFormat="1" ht="13.2" customHeight="1">
      <c r="A39" s="2677">
        <v>9</v>
      </c>
      <c r="B39" s="2678" t="s">
        <v>2425</v>
      </c>
      <c r="C39" s="2645" t="e">
        <f>C38</f>
        <v>#DIV/0!</v>
      </c>
      <c r="D39" s="2678">
        <f>D38/(1+D34)^C36</f>
        <v>0</v>
      </c>
      <c r="E39" s="2678">
        <f>E38/(1+E34)^(C36+D36)</f>
        <v>0</v>
      </c>
      <c r="F39" s="2682"/>
      <c r="G39" s="2597"/>
      <c r="H39" s="2596"/>
      <c r="I39" s="2597"/>
      <c r="J39" s="3443"/>
      <c r="K39" s="3445"/>
      <c r="L39" s="2631"/>
      <c r="M39" s="2632"/>
      <c r="N39" s="2608"/>
      <c r="O39" s="2633"/>
      <c r="P39" s="2633"/>
      <c r="Q39" s="2634"/>
      <c r="R39" s="2635"/>
      <c r="S39" s="2589"/>
      <c r="T39" s="2589"/>
      <c r="U39" s="2589"/>
      <c r="V39" s="2597"/>
    </row>
    <row r="40" spans="1:23" s="2601" customFormat="1" ht="13.2" customHeight="1">
      <c r="A40" s="2736">
        <v>10</v>
      </c>
      <c r="B40" s="2678" t="s">
        <v>2426</v>
      </c>
      <c r="C40" s="2737" t="e">
        <f>C39+D39+E39</f>
        <v>#DIV/0!</v>
      </c>
      <c r="D40" s="2738"/>
      <c r="E40" s="2738"/>
      <c r="F40" s="2739"/>
      <c r="G40" s="2589"/>
      <c r="H40" s="2596"/>
      <c r="I40" s="2597"/>
      <c r="J40" s="3443"/>
      <c r="K40" s="3446"/>
      <c r="L40" s="2651" t="s">
        <v>2365</v>
      </c>
      <c r="M40" s="2652"/>
      <c r="N40" s="2652"/>
      <c r="O40" s="2653"/>
      <c r="P40" s="2653"/>
      <c r="Q40" s="2654"/>
      <c r="R40" s="2600">
        <f>SUM(R37:R39)</f>
        <v>0</v>
      </c>
      <c r="S40" s="2589"/>
      <c r="T40" s="2589"/>
      <c r="U40" s="2589"/>
      <c r="V40" s="2597"/>
    </row>
    <row r="41" spans="1:23" s="2601" customFormat="1" ht="13.2" customHeight="1" thickBot="1">
      <c r="A41" s="2740">
        <v>11</v>
      </c>
      <c r="B41" s="2741" t="s">
        <v>2427</v>
      </c>
      <c r="C41" s="2741" t="e">
        <f>ROUND(C40*10000/B4,0)</f>
        <v>#DIV/0!</v>
      </c>
      <c r="D41" s="2742"/>
      <c r="E41" s="2742"/>
      <c r="F41" s="2743"/>
      <c r="G41" s="2596"/>
      <c r="H41" s="2596"/>
      <c r="I41" s="2597"/>
      <c r="J41" s="2690">
        <v>2</v>
      </c>
      <c r="K41" s="2691" t="s">
        <v>2405</v>
      </c>
      <c r="L41" s="2692"/>
      <c r="M41" s="2692"/>
      <c r="N41" s="2692"/>
      <c r="O41" s="2692"/>
      <c r="P41" s="2693"/>
      <c r="Q41" s="2694"/>
      <c r="R41" s="2667">
        <f>ROUND(R40*Q41,0)</f>
        <v>0</v>
      </c>
      <c r="S41" s="2589"/>
      <c r="T41" s="2589"/>
      <c r="U41" s="2640"/>
      <c r="V41" s="2597"/>
    </row>
    <row r="42" spans="1:23" s="2601" customFormat="1" ht="13.2" customHeight="1">
      <c r="G42" s="2596"/>
      <c r="H42" s="2596"/>
      <c r="I42" s="2597"/>
      <c r="J42" s="3447">
        <v>3</v>
      </c>
      <c r="K42" s="2697" t="s">
        <v>2407</v>
      </c>
      <c r="L42" s="2698"/>
      <c r="M42" s="2699"/>
      <c r="N42" s="2700" t="s">
        <v>2408</v>
      </c>
      <c r="O42" s="2700" t="s">
        <v>2409</v>
      </c>
      <c r="P42" s="2701" t="s">
        <v>2410</v>
      </c>
      <c r="Q42" s="2701" t="s">
        <v>2411</v>
      </c>
      <c r="R42" s="2606" t="s">
        <v>2336</v>
      </c>
      <c r="S42" s="2640"/>
      <c r="T42" s="2640"/>
      <c r="U42" s="2589"/>
      <c r="V42" s="2597"/>
    </row>
    <row r="43" spans="1:23" ht="13.2" customHeight="1">
      <c r="A43" s="2601"/>
      <c r="B43" s="2601"/>
      <c r="C43" s="2601"/>
      <c r="D43" s="2601"/>
      <c r="E43" s="2601"/>
      <c r="F43" s="2601"/>
      <c r="I43" s="2584"/>
      <c r="J43" s="344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2414</v>
      </c>
      <c r="L44" s="2746" t="s">
        <v>2415</v>
      </c>
      <c r="M44" s="2712"/>
      <c r="N44" s="2746" t="s">
        <v>2416</v>
      </c>
      <c r="O44" s="2712"/>
      <c r="P44" s="2746" t="s">
        <v>2417</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t="e">
        <f ca="1">SUMIF(B6:B13,"&lt;&gt;#ref!",B6:B13)</f>
        <v>#N/A</v>
      </c>
      <c r="C2" s="1729" t="s">
        <v>1651</v>
      </c>
      <c r="D2" s="1730" t="s">
        <v>1652</v>
      </c>
      <c r="E2" s="2390">
        <f>SUM(E6:E13)</f>
        <v>170.67</v>
      </c>
      <c r="F2" s="2476"/>
      <c r="G2" s="459"/>
      <c r="H2" s="459"/>
      <c r="I2" s="459"/>
      <c r="J2" s="459"/>
      <c r="K2" s="459"/>
      <c r="L2" s="459"/>
      <c r="M2" s="459"/>
      <c r="N2" s="459"/>
      <c r="O2" s="459"/>
      <c r="P2" s="459"/>
      <c r="Q2" s="459"/>
      <c r="R2" s="459"/>
      <c r="S2" s="459"/>
    </row>
    <row r="3" spans="1:22" ht="15.6">
      <c r="A3" s="1728" t="s">
        <v>686</v>
      </c>
      <c r="B3" s="2384" t="e">
        <f ca="1">ROUND(B2*10000/E2,0)</f>
        <v>#N/A</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62" t="s">
        <v>1654</v>
      </c>
      <c r="C5" s="3463"/>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t="e">
        <f ca="1">IF(F6="是",'数据-取费表'!AO6,0)</f>
        <v>#N/A</v>
      </c>
      <c r="C6" s="1729" t="s">
        <v>1651</v>
      </c>
      <c r="D6" s="2476"/>
      <c r="E6" s="2389">
        <f>IF(OR(A6=0,F6="否"),0,'数据-取费表'!K6+'数据-取费表'!S6)</f>
        <v>170.67</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170.67</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3"/>
      <c r="M4" s="2484"/>
      <c r="N4" s="2484"/>
      <c r="O4" s="2484"/>
      <c r="P4" s="3468" t="s">
        <v>1672</v>
      </c>
      <c r="Q4" s="3469"/>
      <c r="R4" s="3472" t="s">
        <v>1668</v>
      </c>
      <c r="S4" s="3473"/>
      <c r="T4" s="3472" t="s">
        <v>1669</v>
      </c>
      <c r="U4" s="3473"/>
      <c r="V4" s="3364" t="s">
        <v>1670</v>
      </c>
      <c r="W4" s="3364"/>
      <c r="X4" s="1265"/>
      <c r="Y4" s="3472" t="s">
        <v>1672</v>
      </c>
      <c r="Z4" s="3473"/>
      <c r="AA4" s="3467" t="s">
        <v>1668</v>
      </c>
      <c r="AB4" s="3467" t="s">
        <v>1669</v>
      </c>
      <c r="AC4" s="3467" t="s">
        <v>1670</v>
      </c>
    </row>
    <row r="5" spans="1:29">
      <c r="A5" s="348"/>
      <c r="B5" s="349"/>
      <c r="C5" s="3399" t="s">
        <v>1673</v>
      </c>
      <c r="D5" s="3400"/>
      <c r="E5" s="3411" t="s">
        <v>1674</v>
      </c>
      <c r="F5" s="3412"/>
      <c r="G5" s="3399" t="s">
        <v>1675</v>
      </c>
      <c r="H5" s="3400"/>
      <c r="I5" s="3399" t="s">
        <v>1676</v>
      </c>
      <c r="J5" s="3400"/>
      <c r="K5" s="1745"/>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1745"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403" t="s">
        <v>1680</v>
      </c>
      <c r="Q7" s="3404"/>
      <c r="R7" s="664" t="s">
        <v>20</v>
      </c>
      <c r="S7" s="665">
        <f t="shared" ref="S7:S15" si="0">F7</f>
        <v>0</v>
      </c>
      <c r="T7" s="664" t="s">
        <v>20</v>
      </c>
      <c r="U7" s="665">
        <f t="shared" ref="U7:U15" si="1">H7</f>
        <v>0</v>
      </c>
      <c r="V7" s="664" t="s">
        <v>20</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403" t="s">
        <v>1683</v>
      </c>
      <c r="Q8" s="3402"/>
      <c r="R8" s="664" t="s">
        <v>20</v>
      </c>
      <c r="S8" s="665">
        <f t="shared" si="0"/>
        <v>100</v>
      </c>
      <c r="T8" s="664" t="s">
        <v>20</v>
      </c>
      <c r="U8" s="665">
        <f t="shared" si="1"/>
        <v>100</v>
      </c>
      <c r="V8" s="664" t="s">
        <v>20</v>
      </c>
      <c r="W8" s="665">
        <f t="shared" si="2"/>
        <v>100</v>
      </c>
      <c r="X8" s="666"/>
      <c r="Y8" s="3403"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62"/>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362"/>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62"/>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62"/>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68"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69"/>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69"/>
      <c r="Q18" s="1263"/>
      <c r="R18" s="667"/>
      <c r="S18" s="668"/>
      <c r="T18" s="667"/>
      <c r="U18" s="668"/>
      <c r="V18" s="667"/>
      <c r="W18" s="668"/>
      <c r="X18" s="1265"/>
      <c r="Y18" s="337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69"/>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69"/>
      <c r="Q20" s="1263"/>
      <c r="R20" s="667"/>
      <c r="S20" s="668"/>
      <c r="T20" s="667"/>
      <c r="U20" s="668"/>
      <c r="V20" s="667"/>
      <c r="W20" s="668"/>
      <c r="X20" s="1265"/>
      <c r="Y20" s="337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69"/>
      <c r="Q22" s="1263"/>
      <c r="R22" s="667"/>
      <c r="S22" s="668"/>
      <c r="T22" s="667"/>
      <c r="U22" s="668"/>
      <c r="V22" s="667"/>
      <c r="W22" s="668"/>
      <c r="X22" s="1265"/>
      <c r="Y22" s="337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69"/>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69"/>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69"/>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369"/>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69"/>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69"/>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69"/>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69"/>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1709</v>
      </c>
      <c r="B48" s="424"/>
      <c r="C48" s="1082" t="e">
        <f>R49</f>
        <v>#DIV/0!</v>
      </c>
      <c r="D48" s="2140" t="s">
        <v>2133</v>
      </c>
      <c r="E48" s="1083" t="e">
        <f>R48</f>
        <v>#DIV/0!</v>
      </c>
      <c r="F48" s="2141"/>
      <c r="G48" s="1082" t="e">
        <f>T48</f>
        <v>#DIV/0!</v>
      </c>
      <c r="H48" s="2141"/>
      <c r="I48" s="1083" t="e">
        <f>V48</f>
        <v>#DIV/0!</v>
      </c>
      <c r="J48" s="2141"/>
      <c r="K48" s="2142">
        <f>F48+H48+J48</f>
        <v>0</v>
      </c>
      <c r="L48" s="2491"/>
      <c r="M48" s="2484"/>
      <c r="N48" s="2484"/>
      <c r="O48" s="248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170.67</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364"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364"/>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364"/>
      <c r="AC6" s="3410"/>
    </row>
    <row r="7" spans="1:29" s="102" customFormat="1" ht="15" thickBot="1">
      <c r="A7" s="352" t="s">
        <v>1679</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362"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62"/>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62"/>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62"/>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62"/>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62"/>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68"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369"/>
      <c r="Q18" s="1263"/>
      <c r="R18" s="667"/>
      <c r="S18" s="668"/>
      <c r="T18" s="667"/>
      <c r="U18" s="668"/>
      <c r="V18" s="667"/>
      <c r="W18" s="668"/>
      <c r="X18" s="1265"/>
      <c r="Y18" s="337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369"/>
      <c r="Q20" s="1263"/>
      <c r="R20" s="667"/>
      <c r="S20" s="668"/>
      <c r="T20" s="667"/>
      <c r="U20" s="668"/>
      <c r="V20" s="667"/>
      <c r="W20" s="668"/>
      <c r="X20" s="1265"/>
      <c r="Y20" s="337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369"/>
      <c r="Q22" s="1263"/>
      <c r="R22" s="667"/>
      <c r="S22" s="668"/>
      <c r="T22" s="667"/>
      <c r="U22" s="668"/>
      <c r="V22" s="667"/>
      <c r="W22" s="668"/>
      <c r="X22" s="1265"/>
      <c r="Y22" s="337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69"/>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369"/>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69"/>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69"/>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369"/>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69"/>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1793</v>
      </c>
      <c r="B48" s="424"/>
      <c r="C48" s="1082" t="e">
        <f>R49</f>
        <v>#DIV/0!</v>
      </c>
      <c r="D48" s="2140" t="s">
        <v>2133</v>
      </c>
      <c r="E48" s="1083" t="e">
        <f>R48</f>
        <v>#DIV/0!</v>
      </c>
      <c r="F48" s="2141"/>
      <c r="G48" s="1082" t="e">
        <f>T48</f>
        <v>#DIV/0!</v>
      </c>
      <c r="H48" s="2141"/>
      <c r="I48" s="1083" t="e">
        <f>V48</f>
        <v>#DIV/0!</v>
      </c>
      <c r="J48" s="2141"/>
      <c r="K48" s="2143">
        <f>F48+H48+J48</f>
        <v>0</v>
      </c>
      <c r="L48" s="2491"/>
      <c r="M48" s="2484"/>
      <c r="N48" s="2484"/>
      <c r="O48" s="248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170.67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860"/>
      <c r="M5" s="861"/>
      <c r="N5" s="861"/>
      <c r="O5" s="861"/>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860"/>
      <c r="M6" s="861"/>
      <c r="N6" s="861"/>
      <c r="O6" s="861"/>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2"/>
      <c r="R8" s="664" t="s">
        <v>14</v>
      </c>
      <c r="S8" s="665">
        <f t="shared" si="0"/>
        <v>100</v>
      </c>
      <c r="T8" s="664" t="s">
        <v>14</v>
      </c>
      <c r="U8" s="665">
        <f t="shared" si="1"/>
        <v>100</v>
      </c>
      <c r="V8" s="664" t="s">
        <v>14</v>
      </c>
      <c r="W8" s="665">
        <f t="shared" si="2"/>
        <v>100</v>
      </c>
      <c r="X8" s="666"/>
      <c r="Y8" s="3403"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 thickBot="1">
      <c r="A42" s="423" t="s">
        <v>1793</v>
      </c>
      <c r="B42" s="424"/>
      <c r="C42" s="1082" t="e">
        <f>R43</f>
        <v>#DIV/0!</v>
      </c>
      <c r="D42" s="2140" t="s">
        <v>2133</v>
      </c>
      <c r="E42" s="1083" t="e">
        <f>R42</f>
        <v>#DIV/0!</v>
      </c>
      <c r="F42" s="2141"/>
      <c r="G42" s="1082" t="e">
        <f>T42</f>
        <v>#DIV/0!</v>
      </c>
      <c r="H42" s="2141"/>
      <c r="I42" s="1083" t="e">
        <f>V42</f>
        <v>#DIV/0!</v>
      </c>
      <c r="J42" s="2141"/>
      <c r="K42" s="2143">
        <f>F42+H42+J42</f>
        <v>0</v>
      </c>
      <c r="L42" s="873"/>
      <c r="M42" s="861"/>
      <c r="N42" s="861"/>
      <c r="O42" s="861"/>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5"/>
      <c r="M7" s="2437"/>
      <c r="N7" s="2437"/>
      <c r="O7" s="243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6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6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71"/>
      <c r="Q15" s="1263"/>
      <c r="R15" s="667"/>
      <c r="S15" s="668"/>
      <c r="T15" s="667"/>
      <c r="U15" s="668"/>
      <c r="V15" s="667"/>
      <c r="W15" s="668"/>
      <c r="X15" s="1265"/>
      <c r="Y15" s="337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71"/>
      <c r="Q17" s="1263"/>
      <c r="R17" s="667"/>
      <c r="S17" s="668"/>
      <c r="T17" s="667"/>
      <c r="U17" s="668"/>
      <c r="V17" s="667"/>
      <c r="W17" s="668"/>
      <c r="X17" s="1265"/>
      <c r="Y17" s="337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71"/>
      <c r="Q19" s="1263"/>
      <c r="R19" s="667"/>
      <c r="S19" s="668"/>
      <c r="T19" s="667"/>
      <c r="U19" s="668"/>
      <c r="V19" s="667"/>
      <c r="W19" s="668"/>
      <c r="X19" s="1265"/>
      <c r="Y19" s="337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1"/>
      <c r="M37" s="2484"/>
      <c r="N37" s="2484"/>
      <c r="O37" s="2484"/>
      <c r="P37" s="3363" t="str">
        <f>A37</f>
        <v>成交单价</v>
      </c>
      <c r="Q37" s="3363"/>
      <c r="R37" s="3364">
        <f>E37</f>
        <v>0</v>
      </c>
      <c r="S37" s="3364"/>
      <c r="T37" s="3364">
        <f>G37</f>
        <v>0</v>
      </c>
      <c r="U37" s="3364"/>
      <c r="V37" s="3364">
        <f>I37</f>
        <v>0</v>
      </c>
      <c r="W37" s="3364"/>
      <c r="X37" s="385"/>
      <c r="Y37" s="673"/>
      <c r="Z37" s="385"/>
      <c r="AA37" s="385"/>
      <c r="AB37" s="385"/>
      <c r="AC37" s="385"/>
    </row>
    <row r="38" spans="1:29" ht="15" thickBot="1">
      <c r="A38" s="423" t="s">
        <v>1845</v>
      </c>
      <c r="B38" s="424" t="str">
        <f>B37</f>
        <v>元/平方米</v>
      </c>
      <c r="C38" s="1082" t="e">
        <f>R39</f>
        <v>#DIV/0!</v>
      </c>
      <c r="D38" s="2140" t="s">
        <v>2133</v>
      </c>
      <c r="E38" s="1083" t="e">
        <f>R38</f>
        <v>#DIV/0!</v>
      </c>
      <c r="F38" s="2141"/>
      <c r="G38" s="1082" t="e">
        <f>T38</f>
        <v>#DIV/0!</v>
      </c>
      <c r="H38" s="2141"/>
      <c r="I38" s="1083" t="e">
        <f>V38</f>
        <v>#DIV/0!</v>
      </c>
      <c r="J38" s="2141"/>
      <c r="K38" s="2143">
        <f>F38+H38+J38</f>
        <v>0</v>
      </c>
      <c r="L38" s="2491"/>
      <c r="M38" s="2484"/>
      <c r="N38" s="2484"/>
      <c r="O38" s="2484"/>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64" t="str">
        <f>A39</f>
        <v>估价对象XX用房的比较价值（楼面单价，元/平方米）</v>
      </c>
      <c r="Q39" s="3465"/>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SUMIF(46:46,YEAR(E7)&amp;"-"&amp;MONTH(E7),47:47)</f>
        <v>0</v>
      </c>
      <c r="G7" s="1822"/>
      <c r="H7" s="355">
        <f>SUMIF(46:46,YEAR(G7)&amp;"-"&amp;MONTH(G7),47:47)</f>
        <v>0</v>
      </c>
      <c r="I7" s="356"/>
      <c r="J7" s="355">
        <f>SUMIF(46:46,YEAR(I7)&amp;"-"&amp;MONTH(I7),47:47)</f>
        <v>0</v>
      </c>
      <c r="K7" s="38"/>
      <c r="L7" s="2485"/>
      <c r="M7" s="2437"/>
      <c r="N7" s="2437"/>
      <c r="O7" s="243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03" t="s">
        <v>1683</v>
      </c>
      <c r="Q8" s="3402"/>
      <c r="R8" s="664" t="s">
        <v>14</v>
      </c>
      <c r="S8" s="665">
        <f t="shared" si="0"/>
        <v>100</v>
      </c>
      <c r="T8" s="664" t="s">
        <v>14</v>
      </c>
      <c r="U8" s="665">
        <f t="shared" si="1"/>
        <v>100</v>
      </c>
      <c r="V8" s="664" t="s">
        <v>14</v>
      </c>
      <c r="W8" s="665">
        <f t="shared" si="2"/>
        <v>100</v>
      </c>
      <c r="X8" s="666"/>
      <c r="Y8" s="3403"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6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6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6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71"/>
      <c r="Q15" s="1263"/>
      <c r="R15" s="667"/>
      <c r="S15" s="668"/>
      <c r="T15" s="667"/>
      <c r="U15" s="668"/>
      <c r="V15" s="667"/>
      <c r="W15" s="668"/>
      <c r="X15" s="1265"/>
      <c r="Y15" s="337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71"/>
      <c r="Q17" s="1263"/>
      <c r="R17" s="667"/>
      <c r="S17" s="668"/>
      <c r="T17" s="667"/>
      <c r="U17" s="668"/>
      <c r="V17" s="667"/>
      <c r="W17" s="668"/>
      <c r="X17" s="1265"/>
      <c r="Y17" s="337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71"/>
      <c r="Q19" s="1263"/>
      <c r="R19" s="667"/>
      <c r="S19" s="668"/>
      <c r="T19" s="667"/>
      <c r="U19" s="668"/>
      <c r="V19" s="667"/>
      <c r="W19" s="668"/>
      <c r="X19" s="1265"/>
      <c r="Y19" s="337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 thickBot="1">
      <c r="A36" s="423" t="s">
        <v>1793</v>
      </c>
      <c r="B36" s="424"/>
      <c r="C36" s="1082" t="e">
        <f>R37</f>
        <v>#DIV/0!</v>
      </c>
      <c r="D36" s="2140" t="s">
        <v>2133</v>
      </c>
      <c r="E36" s="1083" t="e">
        <f>R36</f>
        <v>#DIV/0!</v>
      </c>
      <c r="F36" s="2141"/>
      <c r="G36" s="1082" t="e">
        <f>T36</f>
        <v>#DIV/0!</v>
      </c>
      <c r="H36" s="2141"/>
      <c r="I36" s="1083" t="e">
        <f>V36</f>
        <v>#DIV/0!</v>
      </c>
      <c r="J36" s="2141"/>
      <c r="K36" s="2143">
        <f>F36+H36+J36</f>
        <v>0</v>
      </c>
      <c r="L36" s="2491"/>
      <c r="M36" s="2484"/>
      <c r="N36" s="2484"/>
      <c r="O36" s="2484"/>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64" t="str">
        <f>A37</f>
        <v>估价对象XX用房的比较价值（楼面单价，元/平方米）</v>
      </c>
      <c r="Q37" s="3465"/>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03" t="s">
        <v>1683</v>
      </c>
      <c r="Q8" s="3402"/>
      <c r="R8" s="664" t="s">
        <v>14</v>
      </c>
      <c r="S8" s="665">
        <f t="shared" si="0"/>
        <v>0</v>
      </c>
      <c r="T8" s="664" t="s">
        <v>14</v>
      </c>
      <c r="U8" s="665">
        <f t="shared" si="1"/>
        <v>0</v>
      </c>
      <c r="V8" s="664" t="s">
        <v>14</v>
      </c>
      <c r="W8" s="665">
        <f t="shared" si="2"/>
        <v>0</v>
      </c>
      <c r="X8" s="666"/>
      <c r="Y8" s="3403"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140</v>
      </c>
      <c r="G10" s="402"/>
      <c r="H10" s="119">
        <f>ROUND(100/'数据-取费表'!G16,0)</f>
        <v>140</v>
      </c>
      <c r="I10" s="402"/>
      <c r="J10" s="119">
        <f>ROUND(100/'数据-取费表'!G16,0)</f>
        <v>140</v>
      </c>
      <c r="K10" s="592"/>
      <c r="L10" s="2486"/>
      <c r="M10" s="2487"/>
      <c r="N10" s="2487"/>
      <c r="O10" s="2538"/>
      <c r="P10" s="3363"/>
      <c r="Q10" s="530" t="str">
        <f t="shared" si="6"/>
        <v>土地使用年限（年）</v>
      </c>
      <c r="R10" s="664" t="s">
        <v>14</v>
      </c>
      <c r="S10" s="665">
        <f t="shared" si="0"/>
        <v>140</v>
      </c>
      <c r="T10" s="664" t="s">
        <v>14</v>
      </c>
      <c r="U10" s="665">
        <f t="shared" si="1"/>
        <v>140</v>
      </c>
      <c r="V10" s="664" t="s">
        <v>14</v>
      </c>
      <c r="W10" s="665">
        <f t="shared" si="2"/>
        <v>140</v>
      </c>
      <c r="X10" s="666"/>
      <c r="Y10" s="326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6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63"/>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71"/>
      <c r="Q16" s="1263"/>
      <c r="R16" s="667"/>
      <c r="S16" s="668"/>
      <c r="T16" s="667"/>
      <c r="U16" s="668"/>
      <c r="V16" s="667"/>
      <c r="W16" s="668"/>
      <c r="X16" s="1265"/>
      <c r="Y16" s="337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71"/>
      <c r="Q18" s="1263"/>
      <c r="R18" s="667"/>
      <c r="S18" s="668"/>
      <c r="T18" s="667"/>
      <c r="U18" s="668"/>
      <c r="V18" s="667"/>
      <c r="W18" s="668"/>
      <c r="X18" s="1265"/>
      <c r="Y18" s="337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71"/>
      <c r="Q20" s="1263"/>
      <c r="R20" s="667"/>
      <c r="S20" s="668"/>
      <c r="T20" s="667"/>
      <c r="U20" s="668"/>
      <c r="V20" s="667"/>
      <c r="W20" s="668"/>
      <c r="X20" s="1265"/>
      <c r="Y20" s="337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71"/>
      <c r="Q22" s="1263"/>
      <c r="R22" s="667"/>
      <c r="S22" s="668"/>
      <c r="T22" s="667"/>
      <c r="U22" s="668"/>
      <c r="V22" s="667"/>
      <c r="W22" s="668"/>
      <c r="X22" s="1265"/>
      <c r="Y22" s="337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371"/>
      <c r="Q24" s="1263"/>
      <c r="R24" s="667"/>
      <c r="S24" s="668"/>
      <c r="T24" s="667"/>
      <c r="U24" s="668"/>
      <c r="V24" s="667"/>
      <c r="W24" s="668"/>
      <c r="X24" s="1265"/>
      <c r="Y24" s="337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71"/>
      <c r="Q26" s="1263"/>
      <c r="R26" s="667"/>
      <c r="S26" s="668"/>
      <c r="T26" s="667"/>
      <c r="U26" s="668"/>
      <c r="V26" s="667"/>
      <c r="W26" s="668"/>
      <c r="X26" s="1265"/>
      <c r="Y26" s="337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371"/>
      <c r="Q28" s="530"/>
      <c r="R28" s="664"/>
      <c r="S28" s="665"/>
      <c r="T28" s="664"/>
      <c r="U28" s="665"/>
      <c r="V28" s="664"/>
      <c r="W28" s="665"/>
      <c r="X28" s="666"/>
      <c r="Y28" s="337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4"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363" t="str">
        <f>A46</f>
        <v>成交单价</v>
      </c>
      <c r="Q46" s="3363"/>
      <c r="R46" s="3364">
        <f>E46</f>
        <v>0</v>
      </c>
      <c r="S46" s="3364"/>
      <c r="T46" s="3364">
        <f>G46</f>
        <v>0</v>
      </c>
      <c r="U46" s="3364"/>
      <c r="V46" s="3364">
        <f>I46</f>
        <v>0</v>
      </c>
      <c r="W46" s="3364"/>
      <c r="X46" s="385"/>
      <c r="Y46" s="673"/>
      <c r="Z46" s="385"/>
      <c r="AA46" s="385"/>
      <c r="AB46" s="385"/>
      <c r="AC46" s="385"/>
    </row>
    <row r="47" spans="1:29" ht="15" thickBot="1">
      <c r="A47" s="423" t="s">
        <v>1793</v>
      </c>
      <c r="B47" s="603"/>
      <c r="C47" s="426" t="e">
        <f>R48</f>
        <v>#DIV/0!</v>
      </c>
      <c r="D47" s="2140" t="s">
        <v>2133</v>
      </c>
      <c r="E47" s="426" t="e">
        <f>R47</f>
        <v>#DIV/0!</v>
      </c>
      <c r="F47" s="2141"/>
      <c r="G47" s="425" t="e">
        <f>T47</f>
        <v>#DIV/0!</v>
      </c>
      <c r="H47" s="2141"/>
      <c r="I47" s="426" t="e">
        <f>V47</f>
        <v>#DIV/0!</v>
      </c>
      <c r="J47" s="2141"/>
      <c r="K47" s="2143">
        <f>F47+H47+J47</f>
        <v>0</v>
      </c>
      <c r="L47" s="2491"/>
      <c r="M47" s="2484"/>
      <c r="N47" s="2484"/>
      <c r="O47" s="2484"/>
      <c r="P47" s="3363" t="str">
        <f>A47</f>
        <v>比较价值（元/平方米）</v>
      </c>
      <c r="Q47" s="3363"/>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64" t="str">
        <f>A48</f>
        <v>估价对象XX用房的比较价值（楼面单价，元/平方米）</v>
      </c>
      <c r="Q48" s="3465"/>
      <c r="R48" s="3477" t="e">
        <f>ROUND(IF(D47="简单平均",AVERAGE(R47:W47),R47*F47+T47*H47+V47*J47),0)</f>
        <v>#DIV/0!</v>
      </c>
      <c r="S48" s="3477"/>
      <c r="T48" s="3477"/>
      <c r="U48" s="3477"/>
      <c r="V48" s="3477"/>
      <c r="W48" s="3477"/>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380" t="s">
        <v>1887</v>
      </c>
      <c r="H55" s="3478"/>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170.67</v>
      </c>
      <c r="F56" s="833" t="e">
        <f t="shared" ref="F56:F64" si="15">ROUND(B56*E56/10000,0)</f>
        <v>#DIV/0!</v>
      </c>
      <c r="G56" s="3362"/>
      <c r="H56" s="336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170.67</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3"/>
      <c r="M4" s="2484"/>
      <c r="N4" s="2484"/>
      <c r="O4" s="2484"/>
      <c r="P4" s="3468" t="s">
        <v>1775</v>
      </c>
      <c r="Q4" s="3469"/>
      <c r="R4" s="3472" t="s">
        <v>1771</v>
      </c>
      <c r="S4" s="3473"/>
      <c r="T4" s="3472" t="s">
        <v>1772</v>
      </c>
      <c r="U4" s="3473"/>
      <c r="V4" s="3364" t="s">
        <v>1773</v>
      </c>
      <c r="W4" s="3364"/>
      <c r="X4" s="1265"/>
      <c r="Y4" s="3472" t="s">
        <v>1775</v>
      </c>
      <c r="Z4" s="3473"/>
      <c r="AA4" s="3467" t="s">
        <v>1771</v>
      </c>
      <c r="AB4" s="3409" t="s">
        <v>1772</v>
      </c>
      <c r="AC4" s="3467" t="s">
        <v>1773</v>
      </c>
    </row>
    <row r="5" spans="1:29">
      <c r="A5" s="348"/>
      <c r="B5" s="349"/>
      <c r="C5" s="3399" t="s">
        <v>1673</v>
      </c>
      <c r="D5" s="3400"/>
      <c r="E5" s="3411" t="s">
        <v>1674</v>
      </c>
      <c r="F5" s="3412"/>
      <c r="G5" s="3399" t="s">
        <v>1675</v>
      </c>
      <c r="H5" s="3400"/>
      <c r="I5" s="3399" t="s">
        <v>1676</v>
      </c>
      <c r="J5" s="3400"/>
      <c r="K5" s="537"/>
      <c r="L5" s="2483"/>
      <c r="M5" s="2484"/>
      <c r="N5" s="2484"/>
      <c r="O5" s="2484"/>
      <c r="P5" s="3470"/>
      <c r="Q5" s="3387"/>
      <c r="R5" s="3392"/>
      <c r="S5" s="3393"/>
      <c r="T5" s="3392"/>
      <c r="U5" s="3393"/>
      <c r="V5" s="3364"/>
      <c r="W5" s="3364"/>
      <c r="X5" s="1265"/>
      <c r="Y5" s="3392"/>
      <c r="Z5" s="3393"/>
      <c r="AA5" s="3409"/>
      <c r="AB5" s="3409"/>
      <c r="AC5" s="3409"/>
    </row>
    <row r="6" spans="1:29" ht="15" thickBot="1">
      <c r="A6" s="350"/>
      <c r="B6" s="351"/>
      <c r="C6" s="3479" t="s">
        <v>1919</v>
      </c>
      <c r="D6" s="3480"/>
      <c r="E6" s="3481" t="s">
        <v>1919</v>
      </c>
      <c r="F6" s="3482"/>
      <c r="G6" s="3479" t="s">
        <v>1919</v>
      </c>
      <c r="H6" s="3480"/>
      <c r="I6" s="3479" t="s">
        <v>1919</v>
      </c>
      <c r="J6" s="3480"/>
      <c r="K6" s="537" t="s">
        <v>1678</v>
      </c>
      <c r="L6" s="2483"/>
      <c r="M6" s="2484"/>
      <c r="N6" s="2484"/>
      <c r="O6" s="2484"/>
      <c r="P6" s="347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45775</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03" t="s">
        <v>1683</v>
      </c>
      <c r="Q8" s="3402"/>
      <c r="R8" s="664" t="s">
        <v>14</v>
      </c>
      <c r="S8" s="665">
        <f t="shared" si="0"/>
        <v>0</v>
      </c>
      <c r="T8" s="664" t="s">
        <v>14</v>
      </c>
      <c r="U8" s="665">
        <f t="shared" si="1"/>
        <v>0</v>
      </c>
      <c r="V8" s="664" t="s">
        <v>14</v>
      </c>
      <c r="W8" s="665">
        <f t="shared" si="2"/>
        <v>0</v>
      </c>
      <c r="X8" s="666"/>
      <c r="Y8" s="3403"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36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140</v>
      </c>
      <c r="G10" s="371"/>
      <c r="H10" s="119">
        <f>ROUND(100/'数据-取费表'!G16,0)</f>
        <v>140</v>
      </c>
      <c r="I10" s="371"/>
      <c r="J10" s="119">
        <f>ROUND(100/'数据-取费表'!G16,0)</f>
        <v>140</v>
      </c>
      <c r="K10" s="592"/>
      <c r="L10" s="2486"/>
      <c r="M10" s="2487"/>
      <c r="N10" s="2487"/>
      <c r="O10" s="2538"/>
      <c r="P10" s="3363"/>
      <c r="Q10" s="530" t="str">
        <f t="shared" si="6"/>
        <v>土地使用年限（年）</v>
      </c>
      <c r="R10" s="664" t="s">
        <v>14</v>
      </c>
      <c r="S10" s="665">
        <f t="shared" si="0"/>
        <v>140</v>
      </c>
      <c r="T10" s="664" t="s">
        <v>14</v>
      </c>
      <c r="U10" s="665">
        <f t="shared" si="1"/>
        <v>140</v>
      </c>
      <c r="V10" s="664" t="s">
        <v>14</v>
      </c>
      <c r="W10" s="665">
        <f t="shared" si="2"/>
        <v>140</v>
      </c>
      <c r="X10" s="666"/>
      <c r="Y10" s="326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6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6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6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6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71"/>
      <c r="Q16" s="1263"/>
      <c r="R16" s="667"/>
      <c r="S16" s="668"/>
      <c r="T16" s="667"/>
      <c r="U16" s="668"/>
      <c r="V16" s="667"/>
      <c r="W16" s="668"/>
      <c r="X16" s="1265"/>
      <c r="Y16" s="337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71"/>
      <c r="Q18" s="1263"/>
      <c r="R18" s="667"/>
      <c r="S18" s="668"/>
      <c r="T18" s="667"/>
      <c r="U18" s="668"/>
      <c r="V18" s="667"/>
      <c r="W18" s="668"/>
      <c r="X18" s="1265"/>
      <c r="Y18" s="337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371"/>
      <c r="Q20" s="1263"/>
      <c r="R20" s="667"/>
      <c r="S20" s="668"/>
      <c r="T20" s="667"/>
      <c r="U20" s="668"/>
      <c r="V20" s="667"/>
      <c r="W20" s="668"/>
      <c r="X20" s="1265"/>
      <c r="Y20" s="337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71"/>
      <c r="Q22" s="1263"/>
      <c r="R22" s="667"/>
      <c r="S22" s="668"/>
      <c r="T22" s="667"/>
      <c r="U22" s="668"/>
      <c r="V22" s="667"/>
      <c r="W22" s="668"/>
      <c r="X22" s="1265"/>
      <c r="Y22" s="337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371"/>
      <c r="Q24" s="530"/>
      <c r="R24" s="664"/>
      <c r="S24" s="665"/>
      <c r="T24" s="664"/>
      <c r="U24" s="665"/>
      <c r="V24" s="664"/>
      <c r="W24" s="665"/>
      <c r="X24" s="666"/>
      <c r="Y24" s="337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4"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363" t="str">
        <f>A41</f>
        <v>成交单价</v>
      </c>
      <c r="Q41" s="3363"/>
      <c r="R41" s="3364">
        <f>E41</f>
        <v>0</v>
      </c>
      <c r="S41" s="3364"/>
      <c r="T41" s="3364">
        <f>G41</f>
        <v>0</v>
      </c>
      <c r="U41" s="3364"/>
      <c r="V41" s="3364">
        <f>I41</f>
        <v>0</v>
      </c>
      <c r="W41" s="3364"/>
      <c r="X41" s="385"/>
      <c r="Y41" s="673"/>
      <c r="Z41" s="385"/>
      <c r="AA41" s="385"/>
      <c r="AB41" s="385"/>
      <c r="AC41" s="385"/>
    </row>
    <row r="42" spans="1:31" ht="15" thickBot="1">
      <c r="A42" s="423" t="s">
        <v>1793</v>
      </c>
      <c r="B42" s="603"/>
      <c r="C42" s="426" t="e">
        <f>R43</f>
        <v>#DIV/0!</v>
      </c>
      <c r="D42" s="2140" t="s">
        <v>2133</v>
      </c>
      <c r="E42" s="426" t="e">
        <f>R42</f>
        <v>#DIV/0!</v>
      </c>
      <c r="F42" s="2141"/>
      <c r="G42" s="425" t="e">
        <f>T42</f>
        <v>#DIV/0!</v>
      </c>
      <c r="H42" s="2141"/>
      <c r="I42" s="426" t="e">
        <f>V42</f>
        <v>#DIV/0!</v>
      </c>
      <c r="J42" s="2141"/>
      <c r="K42" s="2143">
        <f>F42+H42+J42</f>
        <v>0</v>
      </c>
      <c r="L42" s="2491"/>
      <c r="M42" s="2484"/>
      <c r="N42" s="2484"/>
      <c r="O42" s="2484"/>
      <c r="P42" s="3363" t="str">
        <f>A42</f>
        <v>比较价值（元/平方米）</v>
      </c>
      <c r="Q42" s="3363"/>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64" t="str">
        <f>A43</f>
        <v>估价对象XX用房的比较价值（楼面单价，元/平方米）</v>
      </c>
      <c r="Q43" s="3465"/>
      <c r="R43" s="3477" t="e">
        <f>ROUND(IF(D42="简单平均",AVERAGE(R42:W42),R42*F42+T42*H42+V42*J42),0)</f>
        <v>#DIV/0!</v>
      </c>
      <c r="S43" s="3477"/>
      <c r="T43" s="3477"/>
      <c r="U43" s="3477"/>
      <c r="V43" s="3477"/>
      <c r="W43" s="3477"/>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380" t="s">
        <v>1887</v>
      </c>
      <c r="H50" s="3478"/>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170.67</v>
      </c>
      <c r="F51" s="611" t="e">
        <f t="shared" ref="F51:F60" si="15">ROUND(B51*E51/10000,0)</f>
        <v>#DIV/0!</v>
      </c>
      <c r="G51" s="3362"/>
      <c r="H51" s="336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0</v>
      </c>
    </row>
    <row r="6" spans="1:5" ht="15.6">
      <c r="B6" s="3179"/>
      <c r="C6" s="1392" t="s">
        <v>911</v>
      </c>
      <c r="D6" s="797" t="str">
        <f ca="1">NUMBERSTRING(INT(D5*10000),2)&amp;"元整"</f>
        <v>零元整</v>
      </c>
    </row>
    <row r="7" spans="1:5" ht="15.6">
      <c r="B7" s="3184"/>
      <c r="C7" s="1393" t="s">
        <v>912</v>
      </c>
      <c r="D7" s="798">
        <f ca="1">结果表!H102</f>
        <v>24020</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0</v>
      </c>
    </row>
    <row r="14" spans="1:5" ht="15.6">
      <c r="B14" s="3179"/>
      <c r="C14" s="1392" t="s">
        <v>911</v>
      </c>
      <c r="D14" s="797" t="str">
        <f ca="1">NUMBERSTRING(INT(D13*10000),2)&amp;"元整"</f>
        <v>零元整</v>
      </c>
    </row>
    <row r="15" spans="1:5" ht="15.6">
      <c r="B15" s="3184"/>
      <c r="C15" s="1393" t="s">
        <v>921</v>
      </c>
      <c r="D15" s="806">
        <f ca="1">结果表!H108</f>
        <v>24020</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4.抵押净值</v>
      </c>
      <c r="C19" s="1397" t="s">
        <v>910</v>
      </c>
      <c r="D19" s="798">
        <f ca="1">结果表!H111</f>
        <v>1246.5889</v>
      </c>
    </row>
    <row r="20" spans="1:5" ht="31.2">
      <c r="B20" s="3179"/>
      <c r="C20" s="1392" t="s">
        <v>923</v>
      </c>
      <c r="D20" s="797" t="str">
        <f ca="1">NUMBERSTRING(INT(D19*10000),2)&amp;"元整"</f>
        <v>壹仟贰佰肆拾陆万伍仟捌佰捌拾玖元整</v>
      </c>
    </row>
    <row r="21" spans="1:5" ht="16.2" thickBot="1">
      <c r="B21" s="3180"/>
      <c r="C21" s="1399" t="s">
        <v>921</v>
      </c>
      <c r="D21" s="807">
        <f ca="1">结果表!H112</f>
        <v>23666</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247</v>
      </c>
      <c r="C2" s="1984" t="s">
        <v>2074</v>
      </c>
      <c r="D2" s="1984" t="s">
        <v>2075</v>
      </c>
      <c r="E2" s="2395">
        <f ca="1">SUMIF(E6:E13,"&lt;&gt;#ref!",E6:E13)</f>
        <v>170.67</v>
      </c>
      <c r="F2" s="2541"/>
      <c r="G2" s="2541"/>
      <c r="H2" s="2541"/>
      <c r="I2" s="2541"/>
      <c r="J2" s="2541"/>
      <c r="K2" s="2541"/>
      <c r="L2" s="2541"/>
      <c r="M2" s="2541"/>
      <c r="N2" s="2541"/>
      <c r="O2" s="2541"/>
      <c r="P2" s="2541"/>
    </row>
    <row r="3" spans="1:16" ht="15.6">
      <c r="A3" s="1984" t="s">
        <v>2076</v>
      </c>
      <c r="B3" s="2385">
        <f ca="1">ROUND(B2*10000/E2,0)</f>
        <v>14472</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247</v>
      </c>
      <c r="C6" s="1984" t="s">
        <v>2074</v>
      </c>
      <c r="D6" s="2541"/>
      <c r="E6" s="2395">
        <f ca="1">SUMIF(INDIRECT("'"&amp;A6&amp;"'"&amp;"!C:C"),"建筑面积",INDIRECT("'"&amp;A6&amp;"'"&amp;"!D:D"))</f>
        <v>170.67</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2589</v>
      </c>
      <c r="B1" s="2808" t="s">
        <v>2590</v>
      </c>
      <c r="C1" s="2808" t="s">
        <v>2591</v>
      </c>
      <c r="D1" s="2808" t="s">
        <v>2592</v>
      </c>
      <c r="E1" s="2808" t="s">
        <v>2593</v>
      </c>
      <c r="F1" s="2808" t="s">
        <v>2594</v>
      </c>
      <c r="G1" s="2808" t="s">
        <v>2595</v>
      </c>
      <c r="H1" s="2808" t="s">
        <v>2596</v>
      </c>
      <c r="I1" s="2808" t="s">
        <v>2597</v>
      </c>
      <c r="J1" s="2808" t="s">
        <v>2598</v>
      </c>
      <c r="K1" s="2808" t="s">
        <v>2599</v>
      </c>
      <c r="L1" s="2808" t="s">
        <v>2600</v>
      </c>
      <c r="M1" s="2809" t="s">
        <v>2601</v>
      </c>
    </row>
    <row r="2" spans="1:13" ht="19.5" customHeight="1">
      <c r="A2" s="2811" t="s">
        <v>2602</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2603</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2604</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2605</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2606</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2607</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2608</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2609</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2610</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2611</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2612</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2613</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2614</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2615</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2616</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2617</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2618</v>
      </c>
      <c r="B18" s="2833"/>
      <c r="C18" s="2834"/>
      <c r="D18" s="2834"/>
      <c r="E18" s="2833"/>
      <c r="F18" s="2834"/>
      <c r="G18" s="2834"/>
    </row>
    <row r="19" spans="1:13" ht="19.5" customHeight="1" thickBot="1">
      <c r="A19" s="2831" t="s">
        <v>2619</v>
      </c>
      <c r="B19" s="2836" t="s">
        <v>2620</v>
      </c>
      <c r="C19" s="2836" t="s">
        <v>2621</v>
      </c>
      <c r="D19" s="2837"/>
      <c r="E19" s="2831" t="s">
        <v>2622</v>
      </c>
      <c r="F19" s="2838"/>
      <c r="G19" s="2838"/>
    </row>
    <row r="20" spans="1:13" ht="19.5" customHeight="1">
      <c r="A20" s="3492" t="s">
        <v>2602</v>
      </c>
      <c r="B20" s="3487" t="s">
        <v>2623</v>
      </c>
      <c r="C20" s="2839" t="s">
        <v>2434</v>
      </c>
      <c r="D20" s="2840"/>
      <c r="E20" s="2841">
        <v>1</v>
      </c>
      <c r="F20" s="2842" t="s">
        <v>2435</v>
      </c>
      <c r="G20" s="2842"/>
    </row>
    <row r="21" spans="1:13" ht="19.5" customHeight="1">
      <c r="A21" s="3493"/>
      <c r="B21" s="3486"/>
      <c r="C21" s="2843" t="s">
        <v>2436</v>
      </c>
      <c r="D21" s="2844"/>
      <c r="E21" s="2845">
        <v>1</v>
      </c>
      <c r="F21" s="2842" t="s">
        <v>2437</v>
      </c>
      <c r="G21" s="2842"/>
    </row>
    <row r="22" spans="1:13" ht="19.5" customHeight="1">
      <c r="A22" s="3493"/>
      <c r="B22" s="3486"/>
      <c r="C22" s="2843" t="s">
        <v>2438</v>
      </c>
      <c r="D22" s="2844"/>
      <c r="E22" s="2845">
        <v>0.9</v>
      </c>
      <c r="F22" s="2842" t="s">
        <v>2439</v>
      </c>
      <c r="G22" s="2842"/>
    </row>
    <row r="23" spans="1:13" ht="19.5" customHeight="1">
      <c r="A23" s="3493"/>
      <c r="B23" s="3486"/>
      <c r="C23" s="2843" t="s">
        <v>2440</v>
      </c>
      <c r="D23" s="2844"/>
      <c r="E23" s="2845">
        <v>0.9</v>
      </c>
      <c r="F23" s="2842" t="s">
        <v>2441</v>
      </c>
      <c r="G23" s="2842"/>
    </row>
    <row r="24" spans="1:13" ht="19.5" customHeight="1">
      <c r="A24" s="3493"/>
      <c r="B24" s="3486"/>
      <c r="C24" s="2843" t="s">
        <v>2442</v>
      </c>
      <c r="D24" s="2844"/>
      <c r="E24" s="2845">
        <v>0.8</v>
      </c>
      <c r="F24" s="2842" t="s">
        <v>2443</v>
      </c>
      <c r="G24" s="2842"/>
    </row>
    <row r="25" spans="1:13" ht="19.5" customHeight="1" thickBot="1">
      <c r="A25" s="3494"/>
      <c r="B25" s="3488"/>
      <c r="C25" s="2846" t="s">
        <v>2444</v>
      </c>
      <c r="D25" s="2847"/>
      <c r="E25" s="2848">
        <v>0.8</v>
      </c>
      <c r="F25" s="2842" t="s">
        <v>2445</v>
      </c>
      <c r="G25" s="2842"/>
    </row>
    <row r="26" spans="1:13" ht="19.5" customHeight="1" thickBot="1">
      <c r="A26" s="2849" t="s">
        <v>2624</v>
      </c>
      <c r="B26" s="2850" t="s">
        <v>2623</v>
      </c>
      <c r="C26" s="2851" t="s">
        <v>2625</v>
      </c>
      <c r="D26" s="2852"/>
      <c r="E26" s="2853">
        <v>1</v>
      </c>
      <c r="F26" s="2842" t="s">
        <v>2446</v>
      </c>
      <c r="G26" s="2842"/>
    </row>
    <row r="27" spans="1:13" ht="19.5" customHeight="1">
      <c r="A27" s="3489" t="s">
        <v>2626</v>
      </c>
      <c r="B27" s="3487" t="s">
        <v>2607</v>
      </c>
      <c r="C27" s="2839" t="s">
        <v>2447</v>
      </c>
      <c r="D27" s="2840"/>
      <c r="E27" s="2841">
        <v>1</v>
      </c>
      <c r="F27" s="2842" t="s">
        <v>2448</v>
      </c>
      <c r="G27" s="2842"/>
    </row>
    <row r="28" spans="1:13" ht="19.5" customHeight="1">
      <c r="A28" s="3490"/>
      <c r="B28" s="3486"/>
      <c r="C28" s="2843" t="s">
        <v>2449</v>
      </c>
      <c r="D28" s="2844"/>
      <c r="E28" s="2845">
        <v>1</v>
      </c>
      <c r="F28" s="2842" t="s">
        <v>2450</v>
      </c>
      <c r="G28" s="2842"/>
    </row>
    <row r="29" spans="1:13" ht="19.5" customHeight="1">
      <c r="A29" s="3490"/>
      <c r="B29" s="3486"/>
      <c r="C29" s="2843" t="s">
        <v>2451</v>
      </c>
      <c r="D29" s="2844"/>
      <c r="E29" s="2845">
        <v>0.8</v>
      </c>
      <c r="F29" s="2842" t="s">
        <v>2452</v>
      </c>
      <c r="G29" s="2842"/>
    </row>
    <row r="30" spans="1:13" ht="19.5" customHeight="1">
      <c r="A30" s="3490"/>
      <c r="B30" s="3486"/>
      <c r="C30" s="2843" t="s">
        <v>2453</v>
      </c>
      <c r="D30" s="2844"/>
      <c r="E30" s="2845">
        <v>0.8</v>
      </c>
      <c r="F30" s="2842" t="s">
        <v>2454</v>
      </c>
      <c r="G30" s="2842"/>
    </row>
    <row r="31" spans="1:13" ht="19.5" customHeight="1">
      <c r="A31" s="3490"/>
      <c r="B31" s="3486"/>
      <c r="C31" s="2843" t="s">
        <v>2455</v>
      </c>
      <c r="D31" s="2844"/>
      <c r="E31" s="2845">
        <v>0.8</v>
      </c>
      <c r="F31" s="2842" t="s">
        <v>2456</v>
      </c>
      <c r="G31" s="2842"/>
    </row>
    <row r="32" spans="1:13" ht="19.5" customHeight="1">
      <c r="A32" s="3490"/>
      <c r="B32" s="3486"/>
      <c r="C32" s="2843" t="s">
        <v>2457</v>
      </c>
      <c r="D32" s="2844"/>
      <c r="E32" s="2845">
        <v>0.7</v>
      </c>
      <c r="F32" s="2842" t="s">
        <v>2458</v>
      </c>
      <c r="G32" s="2842"/>
    </row>
    <row r="33" spans="1:7" ht="19.5" customHeight="1">
      <c r="A33" s="3490"/>
      <c r="B33" s="3486"/>
      <c r="C33" s="2843" t="s">
        <v>2459</v>
      </c>
      <c r="D33" s="2844"/>
      <c r="E33" s="2845">
        <v>0.8</v>
      </c>
      <c r="F33" s="2842" t="s">
        <v>2460</v>
      </c>
      <c r="G33" s="2842"/>
    </row>
    <row r="34" spans="1:7" ht="19.5" customHeight="1">
      <c r="A34" s="3490"/>
      <c r="B34" s="3486"/>
      <c r="C34" s="2843" t="s">
        <v>2461</v>
      </c>
      <c r="D34" s="2844"/>
      <c r="E34" s="2845">
        <v>0.6</v>
      </c>
      <c r="F34" s="2842" t="s">
        <v>2462</v>
      </c>
      <c r="G34" s="2842"/>
    </row>
    <row r="35" spans="1:7" ht="19.5" customHeight="1">
      <c r="A35" s="3490"/>
      <c r="B35" s="3486"/>
      <c r="C35" s="2843" t="s">
        <v>2463</v>
      </c>
      <c r="D35" s="2844"/>
      <c r="E35" s="2845">
        <v>0.2</v>
      </c>
      <c r="F35" s="2842" t="s">
        <v>2464</v>
      </c>
      <c r="G35" s="2842"/>
    </row>
    <row r="36" spans="1:7" ht="19.5" customHeight="1">
      <c r="A36" s="3490"/>
      <c r="B36" s="3486"/>
      <c r="C36" s="2843" t="s">
        <v>2465</v>
      </c>
      <c r="D36" s="2844"/>
      <c r="E36" s="2845">
        <v>0.2</v>
      </c>
      <c r="F36" s="2842" t="s">
        <v>2466</v>
      </c>
      <c r="G36" s="2842"/>
    </row>
    <row r="37" spans="1:7" ht="19.5" customHeight="1">
      <c r="A37" s="3490"/>
      <c r="B37" s="3484" t="s">
        <v>2627</v>
      </c>
      <c r="C37" s="2843" t="s">
        <v>2467</v>
      </c>
      <c r="D37" s="2844"/>
      <c r="E37" s="2845">
        <v>0.6</v>
      </c>
      <c r="F37" s="2842" t="s">
        <v>2468</v>
      </c>
      <c r="G37" s="2842"/>
    </row>
    <row r="38" spans="1:7" ht="19.5" customHeight="1">
      <c r="A38" s="3490"/>
      <c r="B38" s="3486"/>
      <c r="C38" s="2843" t="s">
        <v>2469</v>
      </c>
      <c r="D38" s="2844"/>
      <c r="E38" s="2845">
        <v>0.6</v>
      </c>
      <c r="F38" s="2842" t="s">
        <v>2470</v>
      </c>
      <c r="G38" s="2842"/>
    </row>
    <row r="39" spans="1:7" ht="19.5" customHeight="1" thickBot="1">
      <c r="A39" s="3491"/>
      <c r="B39" s="3488"/>
      <c r="C39" s="2846" t="s">
        <v>2471</v>
      </c>
      <c r="D39" s="2847"/>
      <c r="E39" s="2848">
        <v>0.6</v>
      </c>
      <c r="F39" s="2842" t="s">
        <v>2472</v>
      </c>
      <c r="G39" s="2842"/>
    </row>
    <row r="40" spans="1:7" ht="19.5" customHeight="1" thickBot="1">
      <c r="A40" s="2849" t="s">
        <v>2604</v>
      </c>
      <c r="B40" s="2850" t="s">
        <v>2604</v>
      </c>
      <c r="C40" s="2851" t="s">
        <v>2628</v>
      </c>
      <c r="D40" s="2852"/>
      <c r="E40" s="2853">
        <v>1</v>
      </c>
      <c r="F40" s="2842" t="s">
        <v>2473</v>
      </c>
      <c r="G40" s="2842"/>
    </row>
    <row r="41" spans="1:7" ht="19.5" customHeight="1">
      <c r="A41" s="3492" t="s">
        <v>2605</v>
      </c>
      <c r="B41" s="3487" t="s">
        <v>2629</v>
      </c>
      <c r="C41" s="2839" t="s">
        <v>2474</v>
      </c>
      <c r="D41" s="2840"/>
      <c r="E41" s="2841">
        <v>1</v>
      </c>
      <c r="F41" s="2842" t="s">
        <v>2475</v>
      </c>
      <c r="G41" s="2842"/>
    </row>
    <row r="42" spans="1:7" ht="19.5" customHeight="1">
      <c r="A42" s="3493"/>
      <c r="B42" s="3486"/>
      <c r="C42" s="2843" t="s">
        <v>2476</v>
      </c>
      <c r="D42" s="2844"/>
      <c r="E42" s="2845">
        <v>1</v>
      </c>
      <c r="F42" s="2842" t="s">
        <v>2477</v>
      </c>
      <c r="G42" s="2842"/>
    </row>
    <row r="43" spans="1:7" ht="19.5" customHeight="1">
      <c r="A43" s="3493"/>
      <c r="B43" s="3485"/>
      <c r="C43" s="2843" t="s">
        <v>2478</v>
      </c>
      <c r="D43" s="2844"/>
      <c r="E43" s="2845">
        <v>1.5</v>
      </c>
      <c r="F43" s="2842" t="s">
        <v>2479</v>
      </c>
      <c r="G43" s="2842"/>
    </row>
    <row r="44" spans="1:7" ht="19.5" customHeight="1">
      <c r="A44" s="3493"/>
      <c r="B44" s="2854" t="s">
        <v>2630</v>
      </c>
      <c r="C44" s="2843" t="s">
        <v>2631</v>
      </c>
      <c r="D44" s="2844"/>
      <c r="E44" s="2845">
        <v>2</v>
      </c>
      <c r="F44" s="2842" t="s">
        <v>2480</v>
      </c>
      <c r="G44" s="2842"/>
    </row>
    <row r="45" spans="1:7" ht="19.5" customHeight="1">
      <c r="A45" s="3493"/>
      <c r="B45" s="3484" t="s">
        <v>2632</v>
      </c>
      <c r="C45" s="2843" t="s">
        <v>2481</v>
      </c>
      <c r="D45" s="2844"/>
      <c r="E45" s="2845">
        <v>1</v>
      </c>
      <c r="F45" s="2842" t="s">
        <v>2482</v>
      </c>
      <c r="G45" s="2842"/>
    </row>
    <row r="46" spans="1:7" ht="19.5" customHeight="1">
      <c r="A46" s="3493"/>
      <c r="B46" s="3486"/>
      <c r="C46" s="2843" t="s">
        <v>2483</v>
      </c>
      <c r="D46" s="2844"/>
      <c r="E46" s="2845">
        <v>1</v>
      </c>
      <c r="F46" s="2842" t="s">
        <v>2484</v>
      </c>
      <c r="G46" s="2842"/>
    </row>
    <row r="47" spans="1:7" ht="19.5" customHeight="1">
      <c r="A47" s="3493"/>
      <c r="B47" s="3486"/>
      <c r="C47" s="2843" t="s">
        <v>2485</v>
      </c>
      <c r="D47" s="2844"/>
      <c r="E47" s="2845">
        <v>1</v>
      </c>
      <c r="F47" s="2842" t="s">
        <v>2486</v>
      </c>
      <c r="G47" s="2842"/>
    </row>
    <row r="48" spans="1:7" ht="19.5" customHeight="1">
      <c r="A48" s="3493"/>
      <c r="B48" s="3486"/>
      <c r="C48" s="2843" t="s">
        <v>2487</v>
      </c>
      <c r="D48" s="2844"/>
      <c r="E48" s="2845">
        <v>1</v>
      </c>
      <c r="F48" s="2842" t="s">
        <v>2488</v>
      </c>
      <c r="G48" s="2842"/>
    </row>
    <row r="49" spans="1:7" ht="19.5" customHeight="1">
      <c r="A49" s="3493"/>
      <c r="B49" s="3486"/>
      <c r="C49" s="2843" t="s">
        <v>2489</v>
      </c>
      <c r="D49" s="2844"/>
      <c r="E49" s="2845">
        <v>1</v>
      </c>
      <c r="F49" s="2842" t="s">
        <v>2490</v>
      </c>
      <c r="G49" s="2842"/>
    </row>
    <row r="50" spans="1:7" ht="19.5" customHeight="1">
      <c r="A50" s="3493"/>
      <c r="B50" s="3486"/>
      <c r="C50" s="2843" t="s">
        <v>2491</v>
      </c>
      <c r="D50" s="2844"/>
      <c r="E50" s="2845">
        <v>1</v>
      </c>
      <c r="F50" s="2842" t="s">
        <v>2492</v>
      </c>
      <c r="G50" s="2842"/>
    </row>
    <row r="51" spans="1:7" ht="19.5" customHeight="1" thickBot="1">
      <c r="A51" s="3494"/>
      <c r="B51" s="3488"/>
      <c r="C51" s="2846" t="s">
        <v>2493</v>
      </c>
      <c r="D51" s="2847"/>
      <c r="E51" s="2848">
        <v>1</v>
      </c>
      <c r="F51" s="2842" t="s">
        <v>2494</v>
      </c>
      <c r="G51" s="2842"/>
    </row>
    <row r="52" spans="1:7" ht="19.5" customHeight="1">
      <c r="A52" s="2855"/>
      <c r="B52" s="2855"/>
      <c r="C52" s="2855"/>
      <c r="D52" s="2855"/>
      <c r="E52" s="2855"/>
      <c r="F52" s="2855"/>
      <c r="G52" s="2855"/>
    </row>
    <row r="54" spans="1:7" ht="19.5" customHeight="1">
      <c r="A54" s="2856"/>
      <c r="B54" s="2828" t="s">
        <v>2633</v>
      </c>
      <c r="C54" s="2828" t="s">
        <v>2633</v>
      </c>
      <c r="D54" s="2828" t="s">
        <v>2633</v>
      </c>
      <c r="E54" s="2831" t="s">
        <v>2633</v>
      </c>
      <c r="F54" s="2831" t="s">
        <v>2634</v>
      </c>
      <c r="G54" s="2831" t="s">
        <v>2635</v>
      </c>
    </row>
    <row r="55" spans="1:7" ht="19.5" customHeight="1">
      <c r="A55" s="2857"/>
      <c r="B55" s="2831" t="s">
        <v>2602</v>
      </c>
      <c r="C55" s="2831" t="s">
        <v>2602</v>
      </c>
      <c r="D55" s="2831" t="s">
        <v>2602</v>
      </c>
      <c r="E55" s="2828" t="s">
        <v>2603</v>
      </c>
      <c r="F55" s="2828" t="s">
        <v>2605</v>
      </c>
      <c r="G55" s="2828" t="s">
        <v>2636</v>
      </c>
    </row>
    <row r="56" spans="1:7" ht="19.5" customHeight="1">
      <c r="A56" s="2858"/>
      <c r="B56" s="2828">
        <v>1</v>
      </c>
      <c r="C56" s="2828">
        <v>2</v>
      </c>
      <c r="D56" s="2828">
        <v>3</v>
      </c>
      <c r="E56" s="2859" t="s">
        <v>2637</v>
      </c>
      <c r="F56" s="2859" t="s">
        <v>2637</v>
      </c>
      <c r="G56" s="2859" t="s">
        <v>2637</v>
      </c>
    </row>
    <row r="57" spans="1:7" ht="19.5" customHeight="1">
      <c r="A57" s="2860" t="s">
        <v>2590</v>
      </c>
      <c r="B57" s="2828">
        <v>0.7</v>
      </c>
      <c r="C57" s="2828">
        <v>0.4</v>
      </c>
      <c r="D57" s="2828">
        <v>0.3</v>
      </c>
      <c r="E57" s="2859">
        <v>0.3</v>
      </c>
      <c r="F57" s="2828">
        <v>0.3</v>
      </c>
      <c r="G57" s="2828">
        <v>0.2</v>
      </c>
    </row>
    <row r="58" spans="1:7" ht="19.5" customHeight="1">
      <c r="A58" s="2860" t="s">
        <v>2591</v>
      </c>
      <c r="B58" s="2828">
        <v>0.7</v>
      </c>
      <c r="C58" s="2828">
        <v>0.4</v>
      </c>
      <c r="D58" s="2828">
        <v>0.3</v>
      </c>
      <c r="E58" s="2828">
        <v>0.3</v>
      </c>
      <c r="F58" s="2828">
        <v>0.3</v>
      </c>
      <c r="G58" s="2828">
        <v>0.2</v>
      </c>
    </row>
    <row r="59" spans="1:7" ht="19.5" customHeight="1">
      <c r="A59" s="2860" t="s">
        <v>2592</v>
      </c>
      <c r="B59" s="2828">
        <v>0.6</v>
      </c>
      <c r="C59" s="2828">
        <v>0.3</v>
      </c>
      <c r="D59" s="2828">
        <v>0.25</v>
      </c>
      <c r="E59" s="2828">
        <v>0.25</v>
      </c>
      <c r="F59" s="2828">
        <v>0.25</v>
      </c>
      <c r="G59" s="2828">
        <v>0.15</v>
      </c>
    </row>
    <row r="60" spans="1:7" ht="19.5" customHeight="1">
      <c r="A60" s="2860" t="s">
        <v>2593</v>
      </c>
      <c r="B60" s="2828">
        <v>0.6</v>
      </c>
      <c r="C60" s="2828">
        <v>0.3</v>
      </c>
      <c r="D60" s="2828">
        <v>0.25</v>
      </c>
      <c r="E60" s="2828">
        <v>0.25</v>
      </c>
      <c r="F60" s="2828">
        <v>0.25</v>
      </c>
      <c r="G60" s="2828">
        <v>0.15</v>
      </c>
    </row>
    <row r="61" spans="1:7" ht="19.5" customHeight="1">
      <c r="A61" s="2860" t="s">
        <v>2594</v>
      </c>
      <c r="B61" s="2828">
        <v>0.6</v>
      </c>
      <c r="C61" s="2828">
        <v>0.3</v>
      </c>
      <c r="D61" s="2828">
        <v>0.25</v>
      </c>
      <c r="E61" s="2828">
        <v>0.25</v>
      </c>
      <c r="F61" s="2828">
        <v>0.25</v>
      </c>
      <c r="G61" s="2828">
        <v>0.15</v>
      </c>
    </row>
    <row r="62" spans="1:7" ht="19.5" customHeight="1">
      <c r="A62" s="2860" t="s">
        <v>2595</v>
      </c>
      <c r="B62" s="2828">
        <v>0.6</v>
      </c>
      <c r="C62" s="2828">
        <v>0.3</v>
      </c>
      <c r="D62" s="2828">
        <v>0.25</v>
      </c>
      <c r="E62" s="2828">
        <v>0.25</v>
      </c>
      <c r="F62" s="2828">
        <v>0.25</v>
      </c>
      <c r="G62" s="2828">
        <v>0.15</v>
      </c>
    </row>
    <row r="63" spans="1:7" ht="19.5" customHeight="1">
      <c r="A63" s="2860" t="s">
        <v>2596</v>
      </c>
      <c r="B63" s="2828">
        <v>0.6</v>
      </c>
      <c r="C63" s="2828">
        <v>0.3</v>
      </c>
      <c r="D63" s="2828">
        <v>0.25</v>
      </c>
      <c r="E63" s="2828">
        <v>0.25</v>
      </c>
      <c r="F63" s="2828">
        <v>0.25</v>
      </c>
      <c r="G63" s="2828">
        <v>0.15</v>
      </c>
    </row>
    <row r="64" spans="1:7" ht="19.5" customHeight="1">
      <c r="A64" s="2860" t="s">
        <v>2597</v>
      </c>
      <c r="B64" s="2828">
        <v>0.5</v>
      </c>
      <c r="C64" s="2828">
        <v>0.2</v>
      </c>
      <c r="D64" s="2828">
        <v>0.2</v>
      </c>
      <c r="E64" s="2828">
        <v>0.2</v>
      </c>
      <c r="F64" s="2828">
        <v>0.2</v>
      </c>
      <c r="G64" s="2828">
        <v>0.1</v>
      </c>
    </row>
    <row r="65" spans="1:7" ht="19.5" customHeight="1">
      <c r="A65" s="2860" t="s">
        <v>2598</v>
      </c>
      <c r="B65" s="2828">
        <v>0.5</v>
      </c>
      <c r="C65" s="2828">
        <v>0.2</v>
      </c>
      <c r="D65" s="2828">
        <v>0.2</v>
      </c>
      <c r="E65" s="2828">
        <v>0.2</v>
      </c>
      <c r="F65" s="2828">
        <v>0.2</v>
      </c>
      <c r="G65" s="2828">
        <v>0.1</v>
      </c>
    </row>
    <row r="66" spans="1:7" ht="19.5" customHeight="1">
      <c r="A66" s="2860" t="s">
        <v>2599</v>
      </c>
      <c r="B66" s="2828">
        <v>0.5</v>
      </c>
      <c r="C66" s="2828">
        <v>0.2</v>
      </c>
      <c r="D66" s="2828">
        <v>0.2</v>
      </c>
      <c r="E66" s="2828">
        <v>0.2</v>
      </c>
      <c r="F66" s="2828">
        <v>0.2</v>
      </c>
      <c r="G66" s="2828">
        <v>0.1</v>
      </c>
    </row>
    <row r="67" spans="1:7" ht="19.5" customHeight="1">
      <c r="A67" s="2860" t="s">
        <v>2600</v>
      </c>
      <c r="B67" s="2828">
        <v>0.5</v>
      </c>
      <c r="C67" s="2828">
        <v>0.2</v>
      </c>
      <c r="D67" s="2828">
        <v>0.2</v>
      </c>
      <c r="E67" s="2828">
        <v>0.2</v>
      </c>
      <c r="F67" s="2828">
        <v>0.2</v>
      </c>
      <c r="G67" s="2828">
        <v>0.1</v>
      </c>
    </row>
    <row r="68" spans="1:7" ht="19.5" customHeight="1">
      <c r="A68" s="2860" t="s">
        <v>2601</v>
      </c>
      <c r="B68" s="2828">
        <v>0.5</v>
      </c>
      <c r="C68" s="2828">
        <v>0.2</v>
      </c>
      <c r="D68" s="2828">
        <v>0.2</v>
      </c>
      <c r="E68" s="2828">
        <v>0.2</v>
      </c>
      <c r="F68" s="2828">
        <v>0.2</v>
      </c>
      <c r="G68" s="2828">
        <v>0.1</v>
      </c>
    </row>
    <row r="70" spans="1:7" ht="19.5" customHeight="1">
      <c r="A70" s="2842"/>
      <c r="B70" s="2861"/>
      <c r="C70" s="2861"/>
      <c r="D70" s="2861" t="s">
        <v>2638</v>
      </c>
      <c r="E70" s="2861"/>
      <c r="F70" s="2861"/>
    </row>
    <row r="71" spans="1:7" ht="19.5" customHeight="1">
      <c r="A71" s="2854" t="s">
        <v>2639</v>
      </c>
      <c r="B71" s="2854" t="s">
        <v>2640</v>
      </c>
      <c r="C71" s="2854" t="s">
        <v>2641</v>
      </c>
      <c r="D71" s="2854" t="s">
        <v>2642</v>
      </c>
      <c r="E71" s="2854" t="s">
        <v>2643</v>
      </c>
      <c r="F71" s="2854" t="s">
        <v>2644</v>
      </c>
    </row>
    <row r="72" spans="1:7" ht="14.4">
      <c r="A72" s="2854"/>
      <c r="B72" s="2854"/>
      <c r="C72" s="2854" t="s">
        <v>2645</v>
      </c>
      <c r="D72" s="2854"/>
      <c r="E72" s="2854" t="s">
        <v>2616</v>
      </c>
      <c r="F72" s="2854" t="s">
        <v>2616</v>
      </c>
    </row>
    <row r="73" spans="1:7" ht="14.4">
      <c r="A73" s="2854">
        <v>1</v>
      </c>
      <c r="B73" s="3484" t="s">
        <v>2646</v>
      </c>
      <c r="C73" s="2828" t="s">
        <v>2647</v>
      </c>
      <c r="D73" s="2828" t="s">
        <v>2648</v>
      </c>
      <c r="E73" s="2854">
        <v>0.2</v>
      </c>
      <c r="F73" s="2854">
        <v>25</v>
      </c>
    </row>
    <row r="74" spans="1:7" ht="24">
      <c r="A74" s="2854">
        <v>2</v>
      </c>
      <c r="B74" s="3486"/>
      <c r="C74" s="2828" t="s">
        <v>2649</v>
      </c>
      <c r="D74" s="2828" t="s">
        <v>2650</v>
      </c>
      <c r="E74" s="2854">
        <v>0.2</v>
      </c>
      <c r="F74" s="2854">
        <v>25</v>
      </c>
    </row>
    <row r="75" spans="1:7" ht="24">
      <c r="A75" s="2854">
        <v>3</v>
      </c>
      <c r="B75" s="3486"/>
      <c r="C75" s="2828" t="s">
        <v>2651</v>
      </c>
      <c r="D75" s="2828" t="s">
        <v>2652</v>
      </c>
      <c r="E75" s="2854">
        <v>0.2</v>
      </c>
      <c r="F75" s="2854">
        <v>25</v>
      </c>
    </row>
    <row r="76" spans="1:7" ht="14.4">
      <c r="A76" s="2854">
        <v>4</v>
      </c>
      <c r="B76" s="3486"/>
      <c r="C76" s="2828" t="s">
        <v>2653</v>
      </c>
      <c r="D76" s="2828" t="s">
        <v>2654</v>
      </c>
      <c r="E76" s="2854">
        <v>0.15</v>
      </c>
      <c r="F76" s="2854">
        <v>20</v>
      </c>
    </row>
    <row r="77" spans="1:7" ht="24">
      <c r="A77" s="2854">
        <v>5</v>
      </c>
      <c r="B77" s="3486"/>
      <c r="C77" s="2828" t="s">
        <v>2655</v>
      </c>
      <c r="D77" s="2828" t="s">
        <v>2656</v>
      </c>
      <c r="E77" s="2854">
        <v>0.15</v>
      </c>
      <c r="F77" s="2854">
        <v>20</v>
      </c>
    </row>
    <row r="78" spans="1:7" ht="24">
      <c r="A78" s="2854">
        <v>6</v>
      </c>
      <c r="B78" s="3486"/>
      <c r="C78" s="2828" t="s">
        <v>2657</v>
      </c>
      <c r="D78" s="2828" t="s">
        <v>2658</v>
      </c>
      <c r="E78" s="2854">
        <v>0.15</v>
      </c>
      <c r="F78" s="2854">
        <v>20</v>
      </c>
    </row>
    <row r="79" spans="1:7" ht="24">
      <c r="A79" s="2854">
        <v>7</v>
      </c>
      <c r="B79" s="3486"/>
      <c r="C79" s="2828" t="s">
        <v>2659</v>
      </c>
      <c r="D79" s="2828" t="s">
        <v>2660</v>
      </c>
      <c r="E79" s="2854">
        <v>0.15</v>
      </c>
      <c r="F79" s="2854">
        <v>20</v>
      </c>
    </row>
    <row r="80" spans="1:7" ht="24">
      <c r="A80" s="2854">
        <v>8</v>
      </c>
      <c r="B80" s="3486"/>
      <c r="C80" s="2828" t="s">
        <v>2661</v>
      </c>
      <c r="D80" s="2828" t="s">
        <v>2662</v>
      </c>
      <c r="E80" s="2854">
        <v>0.1</v>
      </c>
      <c r="F80" s="2854">
        <v>15</v>
      </c>
    </row>
    <row r="81" spans="1:6" ht="24">
      <c r="A81" s="2854">
        <v>9</v>
      </c>
      <c r="B81" s="3486"/>
      <c r="C81" s="2828" t="s">
        <v>2663</v>
      </c>
      <c r="D81" s="2828" t="s">
        <v>2664</v>
      </c>
      <c r="E81" s="2854">
        <v>0.1</v>
      </c>
      <c r="F81" s="2854">
        <v>15</v>
      </c>
    </row>
    <row r="82" spans="1:6" ht="24">
      <c r="A82" s="2854">
        <v>10</v>
      </c>
      <c r="B82" s="3486"/>
      <c r="C82" s="2828" t="s">
        <v>2665</v>
      </c>
      <c r="D82" s="2828" t="s">
        <v>2666</v>
      </c>
      <c r="E82" s="2854">
        <v>0.1</v>
      </c>
      <c r="F82" s="2854">
        <v>15</v>
      </c>
    </row>
    <row r="83" spans="1:6" ht="24">
      <c r="A83" s="2854">
        <v>11</v>
      </c>
      <c r="B83" s="3486"/>
      <c r="C83" s="2828" t="s">
        <v>2667</v>
      </c>
      <c r="D83" s="2828" t="s">
        <v>2668</v>
      </c>
      <c r="E83" s="2854">
        <v>0.1</v>
      </c>
      <c r="F83" s="2854">
        <v>15</v>
      </c>
    </row>
    <row r="84" spans="1:6" ht="24">
      <c r="A84" s="2854">
        <v>12</v>
      </c>
      <c r="B84" s="3486"/>
      <c r="C84" s="2828" t="s">
        <v>2669</v>
      </c>
      <c r="D84" s="2828" t="s">
        <v>2670</v>
      </c>
      <c r="E84" s="2854">
        <v>0.1</v>
      </c>
      <c r="F84" s="2854">
        <v>15</v>
      </c>
    </row>
    <row r="85" spans="1:6" ht="24">
      <c r="A85" s="2854">
        <v>13</v>
      </c>
      <c r="B85" s="3486"/>
      <c r="C85" s="2828" t="s">
        <v>2671</v>
      </c>
      <c r="D85" s="2828" t="s">
        <v>2672</v>
      </c>
      <c r="E85" s="2854">
        <v>0.1</v>
      </c>
      <c r="F85" s="2854">
        <v>15</v>
      </c>
    </row>
    <row r="86" spans="1:6" ht="24">
      <c r="A86" s="2854">
        <v>14</v>
      </c>
      <c r="B86" s="3486"/>
      <c r="C86" s="2828" t="s">
        <v>2673</v>
      </c>
      <c r="D86" s="2828" t="s">
        <v>2674</v>
      </c>
      <c r="E86" s="2854">
        <v>0.1</v>
      </c>
      <c r="F86" s="2854">
        <v>15</v>
      </c>
    </row>
    <row r="87" spans="1:6" ht="24">
      <c r="A87" s="2854">
        <v>15</v>
      </c>
      <c r="B87" s="3486"/>
      <c r="C87" s="2828" t="s">
        <v>2675</v>
      </c>
      <c r="D87" s="2828" t="s">
        <v>2676</v>
      </c>
      <c r="E87" s="2854">
        <v>0.1</v>
      </c>
      <c r="F87" s="2854">
        <v>15</v>
      </c>
    </row>
    <row r="88" spans="1:6" ht="24">
      <c r="A88" s="2854">
        <v>16</v>
      </c>
      <c r="B88" s="3486"/>
      <c r="C88" s="2828" t="s">
        <v>2677</v>
      </c>
      <c r="D88" s="2828" t="s">
        <v>2678</v>
      </c>
      <c r="E88" s="2854">
        <v>0.1</v>
      </c>
      <c r="F88" s="2854">
        <v>15</v>
      </c>
    </row>
    <row r="89" spans="1:6" ht="24">
      <c r="A89" s="2854">
        <v>17</v>
      </c>
      <c r="B89" s="3485"/>
      <c r="C89" s="2828" t="s">
        <v>2679</v>
      </c>
      <c r="D89" s="2828" t="s">
        <v>2680</v>
      </c>
      <c r="E89" s="2854">
        <v>0.1</v>
      </c>
      <c r="F89" s="2854">
        <v>15</v>
      </c>
    </row>
    <row r="90" spans="1:6" ht="14.4">
      <c r="A90" s="2854">
        <v>18</v>
      </c>
      <c r="B90" s="3484" t="s">
        <v>2681</v>
      </c>
      <c r="C90" s="2828" t="s">
        <v>2682</v>
      </c>
      <c r="D90" s="2828" t="s">
        <v>2683</v>
      </c>
      <c r="E90" s="2854">
        <v>0.2</v>
      </c>
      <c r="F90" s="2854">
        <v>25</v>
      </c>
    </row>
    <row r="91" spans="1:6" ht="24">
      <c r="A91" s="2854">
        <v>19</v>
      </c>
      <c r="B91" s="3486"/>
      <c r="C91" s="2828" t="s">
        <v>2684</v>
      </c>
      <c r="D91" s="2828" t="s">
        <v>2685</v>
      </c>
      <c r="E91" s="2854">
        <v>0.2</v>
      </c>
      <c r="F91" s="2854">
        <v>25</v>
      </c>
    </row>
    <row r="92" spans="1:6" ht="14.4">
      <c r="A92" s="2854">
        <v>20</v>
      </c>
      <c r="B92" s="3486"/>
      <c r="C92" s="2828" t="s">
        <v>2686</v>
      </c>
      <c r="D92" s="2828" t="s">
        <v>2687</v>
      </c>
      <c r="E92" s="2854">
        <v>0.15</v>
      </c>
      <c r="F92" s="2854">
        <v>20</v>
      </c>
    </row>
    <row r="93" spans="1:6" ht="24">
      <c r="A93" s="2854">
        <v>21</v>
      </c>
      <c r="B93" s="3486"/>
      <c r="C93" s="2828" t="s">
        <v>2688</v>
      </c>
      <c r="D93" s="2828" t="s">
        <v>2689</v>
      </c>
      <c r="E93" s="2854">
        <v>0.15</v>
      </c>
      <c r="F93" s="2854">
        <v>20</v>
      </c>
    </row>
    <row r="94" spans="1:6" ht="24">
      <c r="A94" s="2854">
        <v>22</v>
      </c>
      <c r="B94" s="3486"/>
      <c r="C94" s="2828" t="s">
        <v>2690</v>
      </c>
      <c r="D94" s="2828" t="s">
        <v>2691</v>
      </c>
      <c r="E94" s="2854">
        <v>0.15</v>
      </c>
      <c r="F94" s="2854">
        <v>20</v>
      </c>
    </row>
    <row r="95" spans="1:6" ht="36">
      <c r="A95" s="2854">
        <v>23</v>
      </c>
      <c r="B95" s="3486"/>
      <c r="C95" s="2828" t="s">
        <v>2692</v>
      </c>
      <c r="D95" s="2828" t="s">
        <v>2693</v>
      </c>
      <c r="E95" s="2854">
        <v>0.15</v>
      </c>
      <c r="F95" s="2854">
        <v>20</v>
      </c>
    </row>
    <row r="96" spans="1:6" ht="24">
      <c r="A96" s="2854">
        <v>24</v>
      </c>
      <c r="B96" s="3486"/>
      <c r="C96" s="2828" t="s">
        <v>2694</v>
      </c>
      <c r="D96" s="2828" t="s">
        <v>2695</v>
      </c>
      <c r="E96" s="2854">
        <v>0.1</v>
      </c>
      <c r="F96" s="2854">
        <v>15</v>
      </c>
    </row>
    <row r="97" spans="1:6" ht="24">
      <c r="A97" s="2854">
        <v>25</v>
      </c>
      <c r="B97" s="3486"/>
      <c r="C97" s="2828" t="s">
        <v>2696</v>
      </c>
      <c r="D97" s="2828" t="s">
        <v>2697</v>
      </c>
      <c r="E97" s="2854">
        <v>0.1</v>
      </c>
      <c r="F97" s="2854">
        <v>15</v>
      </c>
    </row>
    <row r="98" spans="1:6" ht="24">
      <c r="A98" s="2854">
        <v>26</v>
      </c>
      <c r="B98" s="3486"/>
      <c r="C98" s="2828" t="s">
        <v>2698</v>
      </c>
      <c r="D98" s="2828" t="s">
        <v>2699</v>
      </c>
      <c r="E98" s="2854">
        <v>0.1</v>
      </c>
      <c r="F98" s="2854">
        <v>15</v>
      </c>
    </row>
    <row r="99" spans="1:6" ht="24">
      <c r="A99" s="2854">
        <v>27</v>
      </c>
      <c r="B99" s="3486"/>
      <c r="C99" s="2828" t="s">
        <v>2700</v>
      </c>
      <c r="D99" s="2828" t="s">
        <v>2701</v>
      </c>
      <c r="E99" s="2854">
        <v>0.1</v>
      </c>
      <c r="F99" s="2854">
        <v>15</v>
      </c>
    </row>
    <row r="100" spans="1:6" ht="24">
      <c r="A100" s="2854">
        <v>28</v>
      </c>
      <c r="B100" s="3486"/>
      <c r="C100" s="2828" t="s">
        <v>2702</v>
      </c>
      <c r="D100" s="2828" t="s">
        <v>2703</v>
      </c>
      <c r="E100" s="2854">
        <v>0.1</v>
      </c>
      <c r="F100" s="2854">
        <v>15</v>
      </c>
    </row>
    <row r="101" spans="1:6" ht="24">
      <c r="A101" s="2854">
        <v>29</v>
      </c>
      <c r="B101" s="3486"/>
      <c r="C101" s="2828" t="s">
        <v>2704</v>
      </c>
      <c r="D101" s="2828" t="s">
        <v>2705</v>
      </c>
      <c r="E101" s="2854">
        <v>0.1</v>
      </c>
      <c r="F101" s="2854">
        <v>15</v>
      </c>
    </row>
    <row r="102" spans="1:6" ht="24">
      <c r="A102" s="2854">
        <v>30</v>
      </c>
      <c r="B102" s="3486"/>
      <c r="C102" s="2828" t="s">
        <v>2706</v>
      </c>
      <c r="D102" s="2828" t="s">
        <v>2707</v>
      </c>
      <c r="E102" s="2854">
        <v>0.1</v>
      </c>
      <c r="F102" s="2854">
        <v>15</v>
      </c>
    </row>
    <row r="103" spans="1:6" ht="24">
      <c r="A103" s="2854">
        <v>31</v>
      </c>
      <c r="B103" s="3486"/>
      <c r="C103" s="2828" t="s">
        <v>2708</v>
      </c>
      <c r="D103" s="2828" t="s">
        <v>2709</v>
      </c>
      <c r="E103" s="2854">
        <v>0.1</v>
      </c>
      <c r="F103" s="2854">
        <v>15</v>
      </c>
    </row>
    <row r="104" spans="1:6" ht="24">
      <c r="A104" s="2854">
        <v>32</v>
      </c>
      <c r="B104" s="3486"/>
      <c r="C104" s="2828" t="s">
        <v>2710</v>
      </c>
      <c r="D104" s="2828" t="s">
        <v>2711</v>
      </c>
      <c r="E104" s="2854">
        <v>0.1</v>
      </c>
      <c r="F104" s="2854">
        <v>15</v>
      </c>
    </row>
    <row r="105" spans="1:6" ht="24">
      <c r="A105" s="2854">
        <v>33</v>
      </c>
      <c r="B105" s="3486"/>
      <c r="C105" s="2828" t="s">
        <v>2712</v>
      </c>
      <c r="D105" s="2828" t="s">
        <v>2713</v>
      </c>
      <c r="E105" s="2854">
        <v>0.1</v>
      </c>
      <c r="F105" s="2854">
        <v>15</v>
      </c>
    </row>
    <row r="106" spans="1:6" ht="24">
      <c r="A106" s="2854">
        <v>34</v>
      </c>
      <c r="B106" s="3485"/>
      <c r="C106" s="2828" t="s">
        <v>2714</v>
      </c>
      <c r="D106" s="2828" t="s">
        <v>2715</v>
      </c>
      <c r="E106" s="2854">
        <v>0.1</v>
      </c>
      <c r="F106" s="2854">
        <v>15</v>
      </c>
    </row>
    <row r="107" spans="1:6" ht="36">
      <c r="A107" s="2854">
        <v>35</v>
      </c>
      <c r="B107" s="3484" t="s">
        <v>2716</v>
      </c>
      <c r="C107" s="2854" t="s">
        <v>2717</v>
      </c>
      <c r="D107" s="2828" t="s">
        <v>2718</v>
      </c>
      <c r="E107" s="2854">
        <v>0.15</v>
      </c>
      <c r="F107" s="2854">
        <v>20</v>
      </c>
    </row>
    <row r="108" spans="1:6" ht="24">
      <c r="A108" s="2854">
        <v>36</v>
      </c>
      <c r="B108" s="3486"/>
      <c r="C108" s="2854" t="s">
        <v>2719</v>
      </c>
      <c r="D108" s="2828" t="s">
        <v>2720</v>
      </c>
      <c r="E108" s="2854">
        <v>0.15</v>
      </c>
      <c r="F108" s="2854">
        <v>20</v>
      </c>
    </row>
    <row r="109" spans="1:6" ht="24">
      <c r="A109" s="2854">
        <v>37</v>
      </c>
      <c r="B109" s="3486"/>
      <c r="C109" s="2854" t="s">
        <v>2721</v>
      </c>
      <c r="D109" s="2828" t="s">
        <v>2722</v>
      </c>
      <c r="E109" s="2854">
        <v>0.15</v>
      </c>
      <c r="F109" s="2854">
        <v>20</v>
      </c>
    </row>
    <row r="110" spans="1:6" ht="24">
      <c r="A110" s="2854">
        <v>38</v>
      </c>
      <c r="B110" s="3486"/>
      <c r="C110" s="2854" t="s">
        <v>2723</v>
      </c>
      <c r="D110" s="2828" t="s">
        <v>2724</v>
      </c>
      <c r="E110" s="2854">
        <v>0.1</v>
      </c>
      <c r="F110" s="2854">
        <v>15</v>
      </c>
    </row>
    <row r="111" spans="1:6" ht="24">
      <c r="A111" s="2854">
        <v>39</v>
      </c>
      <c r="B111" s="3486"/>
      <c r="C111" s="2854" t="s">
        <v>2725</v>
      </c>
      <c r="D111" s="2828" t="s">
        <v>2726</v>
      </c>
      <c r="E111" s="2854">
        <v>0.1</v>
      </c>
      <c r="F111" s="2854">
        <v>15</v>
      </c>
    </row>
    <row r="112" spans="1:6" ht="24">
      <c r="A112" s="2854">
        <v>40</v>
      </c>
      <c r="B112" s="3485"/>
      <c r="C112" s="2854" t="s">
        <v>2727</v>
      </c>
      <c r="D112" s="2828" t="s">
        <v>2728</v>
      </c>
      <c r="E112" s="2854">
        <v>0.1</v>
      </c>
      <c r="F112" s="2854">
        <v>15</v>
      </c>
    </row>
    <row r="113" spans="1:6" ht="24">
      <c r="A113" s="2854">
        <v>41</v>
      </c>
      <c r="B113" s="3483" t="s">
        <v>2729</v>
      </c>
      <c r="C113" s="2854" t="s">
        <v>2730</v>
      </c>
      <c r="D113" s="2828" t="s">
        <v>2731</v>
      </c>
      <c r="E113" s="2854">
        <v>0.1</v>
      </c>
      <c r="F113" s="2854">
        <v>15</v>
      </c>
    </row>
    <row r="114" spans="1:6" ht="24">
      <c r="A114" s="2854">
        <v>42</v>
      </c>
      <c r="B114" s="3483"/>
      <c r="C114" s="2854" t="s">
        <v>2732</v>
      </c>
      <c r="D114" s="2828" t="s">
        <v>2733</v>
      </c>
      <c r="E114" s="2854">
        <v>0.1</v>
      </c>
      <c r="F114" s="2854">
        <v>15</v>
      </c>
    </row>
    <row r="115" spans="1:6" ht="24">
      <c r="A115" s="2854">
        <v>43</v>
      </c>
      <c r="B115" s="3483"/>
      <c r="C115" s="2854" t="s">
        <v>2734</v>
      </c>
      <c r="D115" s="2828" t="s">
        <v>2735</v>
      </c>
      <c r="E115" s="2854">
        <v>0.1</v>
      </c>
      <c r="F115" s="2854">
        <v>15</v>
      </c>
    </row>
    <row r="116" spans="1:6" ht="24">
      <c r="A116" s="2854">
        <v>44</v>
      </c>
      <c r="B116" s="3484" t="s">
        <v>2736</v>
      </c>
      <c r="C116" s="2854" t="s">
        <v>2737</v>
      </c>
      <c r="D116" s="2828" t="s">
        <v>2738</v>
      </c>
      <c r="E116" s="2854">
        <v>0.1</v>
      </c>
      <c r="F116" s="2854">
        <v>15</v>
      </c>
    </row>
    <row r="117" spans="1:6" ht="24">
      <c r="A117" s="2854">
        <v>45</v>
      </c>
      <c r="B117" s="3485"/>
      <c r="C117" s="2828" t="s">
        <v>2739</v>
      </c>
      <c r="D117" s="2828" t="s">
        <v>2740</v>
      </c>
      <c r="E117" s="2854">
        <v>0.1</v>
      </c>
      <c r="F117" s="2854">
        <v>15</v>
      </c>
    </row>
    <row r="118" spans="1:6" ht="24">
      <c r="A118" s="2854">
        <v>46</v>
      </c>
      <c r="B118" s="3484" t="s">
        <v>2741</v>
      </c>
      <c r="C118" s="2854" t="s">
        <v>2742</v>
      </c>
      <c r="D118" s="2828" t="s">
        <v>2743</v>
      </c>
      <c r="E118" s="2854">
        <v>0.1</v>
      </c>
      <c r="F118" s="2854">
        <v>15</v>
      </c>
    </row>
    <row r="119" spans="1:6" ht="24">
      <c r="A119" s="2854">
        <v>47</v>
      </c>
      <c r="B119" s="3485"/>
      <c r="C119" s="2854" t="s">
        <v>2744</v>
      </c>
      <c r="D119" s="2828" t="s">
        <v>2745</v>
      </c>
      <c r="E119" s="2854">
        <v>0.1</v>
      </c>
      <c r="F119" s="2854">
        <v>15</v>
      </c>
    </row>
    <row r="120" spans="1:6" ht="24">
      <c r="A120" s="2854">
        <v>48</v>
      </c>
      <c r="B120" s="3484" t="s">
        <v>2746</v>
      </c>
      <c r="C120" s="2854" t="s">
        <v>2747</v>
      </c>
      <c r="D120" s="2828" t="s">
        <v>2748</v>
      </c>
      <c r="E120" s="2854">
        <v>0.1</v>
      </c>
      <c r="F120" s="2854">
        <v>15</v>
      </c>
    </row>
    <row r="121" spans="1:6" ht="24">
      <c r="A121" s="2854">
        <v>49</v>
      </c>
      <c r="B121" s="3485"/>
      <c r="C121" s="2854" t="s">
        <v>2749</v>
      </c>
      <c r="D121" s="2828" t="s">
        <v>2750</v>
      </c>
      <c r="E121" s="2854">
        <v>0.1</v>
      </c>
      <c r="F121" s="2854">
        <v>15</v>
      </c>
    </row>
    <row r="122" spans="1:6" ht="24">
      <c r="A122" s="2854">
        <v>50</v>
      </c>
      <c r="B122" s="3483" t="s">
        <v>2751</v>
      </c>
      <c r="C122" s="2854" t="s">
        <v>2752</v>
      </c>
      <c r="D122" s="2828" t="s">
        <v>2753</v>
      </c>
      <c r="E122" s="2854">
        <v>0.1</v>
      </c>
      <c r="F122" s="2854">
        <v>15</v>
      </c>
    </row>
    <row r="123" spans="1:6" ht="24">
      <c r="A123" s="2854">
        <v>51</v>
      </c>
      <c r="B123" s="3483"/>
      <c r="C123" s="2854" t="s">
        <v>2754</v>
      </c>
      <c r="D123" s="2828" t="s">
        <v>2755</v>
      </c>
      <c r="E123" s="2854">
        <v>0.1</v>
      </c>
      <c r="F123" s="2854">
        <v>15</v>
      </c>
    </row>
    <row r="124" spans="1:6" ht="24">
      <c r="A124" s="2854">
        <v>52</v>
      </c>
      <c r="B124" s="3483" t="s">
        <v>2756</v>
      </c>
      <c r="C124" s="2854" t="s">
        <v>2757</v>
      </c>
      <c r="D124" s="2828" t="s">
        <v>2758</v>
      </c>
      <c r="E124" s="2854">
        <v>0.1</v>
      </c>
      <c r="F124" s="2854">
        <v>15</v>
      </c>
    </row>
    <row r="125" spans="1:6" ht="24">
      <c r="A125" s="2854">
        <v>53</v>
      </c>
      <c r="B125" s="3483"/>
      <c r="C125" s="2854" t="s">
        <v>2759</v>
      </c>
      <c r="D125" s="2828" t="s">
        <v>2760</v>
      </c>
      <c r="E125" s="2854">
        <v>0.1</v>
      </c>
      <c r="F125" s="2854">
        <v>15</v>
      </c>
    </row>
    <row r="126" spans="1:6" ht="24">
      <c r="A126" s="2854">
        <v>54</v>
      </c>
      <c r="B126" s="2854" t="s">
        <v>2761</v>
      </c>
      <c r="C126" s="2854" t="s">
        <v>2762</v>
      </c>
      <c r="D126" s="2828" t="s">
        <v>2763</v>
      </c>
      <c r="E126" s="2854">
        <v>0.1</v>
      </c>
      <c r="F126" s="2854">
        <v>15</v>
      </c>
    </row>
    <row r="127" spans="1:6" ht="24">
      <c r="A127" s="2854">
        <v>55</v>
      </c>
      <c r="B127" s="3483" t="s">
        <v>2764</v>
      </c>
      <c r="C127" s="2854" t="s">
        <v>2765</v>
      </c>
      <c r="D127" s="2828" t="s">
        <v>2766</v>
      </c>
      <c r="E127" s="2854">
        <v>0.1</v>
      </c>
      <c r="F127" s="2854">
        <v>15</v>
      </c>
    </row>
    <row r="128" spans="1:6" ht="24">
      <c r="A128" s="2854">
        <v>56</v>
      </c>
      <c r="B128" s="3483"/>
      <c r="C128" s="2854" t="s">
        <v>2767</v>
      </c>
      <c r="D128" s="2828" t="s">
        <v>2768</v>
      </c>
      <c r="E128" s="2854">
        <v>0.1</v>
      </c>
      <c r="F128" s="2854">
        <v>15</v>
      </c>
    </row>
    <row r="129" spans="1:6" ht="24">
      <c r="A129" s="2854">
        <v>57</v>
      </c>
      <c r="B129" s="3483"/>
      <c r="C129" s="2854" t="s">
        <v>2769</v>
      </c>
      <c r="D129" s="2828" t="s">
        <v>2770</v>
      </c>
      <c r="E129" s="2854">
        <v>0.1</v>
      </c>
      <c r="F129" s="2854">
        <v>15</v>
      </c>
    </row>
    <row r="130" spans="1:6" ht="24">
      <c r="A130" s="2854">
        <v>58</v>
      </c>
      <c r="B130" s="3483" t="s">
        <v>2771</v>
      </c>
      <c r="C130" s="2854" t="s">
        <v>2772</v>
      </c>
      <c r="D130" s="2828" t="s">
        <v>2773</v>
      </c>
      <c r="E130" s="2854">
        <v>0.1</v>
      </c>
      <c r="F130" s="2854">
        <v>15</v>
      </c>
    </row>
    <row r="131" spans="1:6" ht="24">
      <c r="A131" s="2854">
        <v>59</v>
      </c>
      <c r="B131" s="3483"/>
      <c r="C131" s="2854" t="s">
        <v>2774</v>
      </c>
      <c r="D131" s="2828" t="s">
        <v>2775</v>
      </c>
      <c r="E131" s="2854">
        <v>0.1</v>
      </c>
      <c r="F131" s="2854">
        <v>15</v>
      </c>
    </row>
    <row r="132" spans="1:6" ht="24">
      <c r="A132" s="2854">
        <v>60</v>
      </c>
      <c r="B132" s="3484" t="s">
        <v>2776</v>
      </c>
      <c r="C132" s="2854" t="s">
        <v>2777</v>
      </c>
      <c r="D132" s="2828" t="s">
        <v>2778</v>
      </c>
      <c r="E132" s="2854">
        <v>0.1</v>
      </c>
      <c r="F132" s="2854">
        <v>15</v>
      </c>
    </row>
    <row r="133" spans="1:6" ht="24">
      <c r="A133" s="2854">
        <v>61</v>
      </c>
      <c r="B133" s="3485"/>
      <c r="C133" s="2854" t="s">
        <v>2779</v>
      </c>
      <c r="D133" s="2828" t="s">
        <v>2780</v>
      </c>
      <c r="E133" s="2854">
        <v>0.1</v>
      </c>
      <c r="F133" s="2854">
        <v>15</v>
      </c>
    </row>
    <row r="134" spans="1:6" ht="24">
      <c r="A134" s="2854">
        <v>62</v>
      </c>
      <c r="B134" s="2854" t="s">
        <v>2781</v>
      </c>
      <c r="C134" s="2854" t="s">
        <v>2782</v>
      </c>
      <c r="D134" s="2828" t="s">
        <v>2783</v>
      </c>
      <c r="E134" s="2854">
        <v>0.1</v>
      </c>
      <c r="F134" s="2854">
        <v>15</v>
      </c>
    </row>
    <row r="135" spans="1:6" ht="24">
      <c r="A135" s="2854">
        <v>63</v>
      </c>
      <c r="B135" s="3483" t="s">
        <v>2784</v>
      </c>
      <c r="C135" s="2854" t="s">
        <v>2785</v>
      </c>
      <c r="D135" s="2828" t="s">
        <v>2786</v>
      </c>
      <c r="E135" s="2854">
        <v>0.1</v>
      </c>
      <c r="F135" s="2854">
        <v>15</v>
      </c>
    </row>
    <row r="136" spans="1:6" ht="24">
      <c r="A136" s="2854">
        <v>64</v>
      </c>
      <c r="B136" s="3483"/>
      <c r="C136" s="2854" t="s">
        <v>2787</v>
      </c>
      <c r="D136" s="2828" t="s">
        <v>2788</v>
      </c>
      <c r="E136" s="2854">
        <v>0.1</v>
      </c>
      <c r="F136" s="2854">
        <v>15</v>
      </c>
    </row>
    <row r="137" spans="1:6" ht="24">
      <c r="A137" s="2854">
        <v>65</v>
      </c>
      <c r="B137" s="2854" t="s">
        <v>2789</v>
      </c>
      <c r="C137" s="2854" t="s">
        <v>2790</v>
      </c>
      <c r="D137" s="2828" t="s">
        <v>2791</v>
      </c>
      <c r="E137" s="2854">
        <v>0.1</v>
      </c>
      <c r="F137" s="2854">
        <v>15</v>
      </c>
    </row>
    <row r="138" spans="1:6" ht="14.4">
      <c r="A138" s="2854"/>
      <c r="B138" s="2854"/>
      <c r="C138" s="2854"/>
      <c r="D138" s="2854"/>
      <c r="E138" s="2854" t="s">
        <v>2792</v>
      </c>
      <c r="F138" s="2854"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2793</v>
      </c>
      <c r="B1" s="2862"/>
      <c r="C1" s="2862"/>
      <c r="D1" s="2862"/>
      <c r="E1" s="2862"/>
      <c r="F1" s="2862"/>
      <c r="G1" s="2862"/>
      <c r="H1" s="2862"/>
      <c r="I1" s="2862"/>
      <c r="J1" s="2862"/>
      <c r="K1" s="2862"/>
      <c r="L1" s="2862"/>
      <c r="M1" s="2862"/>
      <c r="N1" s="707"/>
    </row>
    <row r="2" spans="1:20">
      <c r="A2" s="2863" t="s">
        <v>2794</v>
      </c>
      <c r="B2" s="2864" t="s">
        <v>2590</v>
      </c>
      <c r="C2" s="2864" t="s">
        <v>2591</v>
      </c>
      <c r="D2" s="2864" t="s">
        <v>2592</v>
      </c>
      <c r="E2" s="2864" t="s">
        <v>2593</v>
      </c>
      <c r="F2" s="2864" t="s">
        <v>2594</v>
      </c>
      <c r="G2" s="2864" t="s">
        <v>2595</v>
      </c>
      <c r="H2" s="2865" t="s">
        <v>2596</v>
      </c>
      <c r="I2" s="2865" t="s">
        <v>2597</v>
      </c>
      <c r="J2" s="2866" t="s">
        <v>2598</v>
      </c>
      <c r="K2" s="2866" t="s">
        <v>2599</v>
      </c>
      <c r="L2" s="2866" t="s">
        <v>2600</v>
      </c>
      <c r="M2" s="2867" t="s">
        <v>2601</v>
      </c>
      <c r="Q2" s="2877" t="s">
        <v>2799</v>
      </c>
      <c r="R2" s="2877" t="s">
        <v>2800</v>
      </c>
      <c r="S2" s="2877" t="s">
        <v>2801</v>
      </c>
      <c r="T2" s="2877" t="s">
        <v>2802</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2795</v>
      </c>
      <c r="B93" s="2862"/>
      <c r="C93" s="2862"/>
      <c r="D93" s="2862"/>
      <c r="E93" s="2862"/>
      <c r="F93" s="2862"/>
      <c r="G93" s="2862"/>
      <c r="H93" s="2862"/>
      <c r="I93" s="2862"/>
      <c r="J93" s="2862"/>
      <c r="K93" s="2862"/>
      <c r="L93" s="2862"/>
      <c r="M93" s="2862"/>
    </row>
    <row r="94" spans="1:20">
      <c r="A94" s="2863" t="s">
        <v>2794</v>
      </c>
      <c r="B94" s="2864" t="s">
        <v>2590</v>
      </c>
      <c r="C94" s="2864" t="s">
        <v>2591</v>
      </c>
      <c r="D94" s="2864" t="s">
        <v>2592</v>
      </c>
      <c r="E94" s="2864" t="s">
        <v>2593</v>
      </c>
      <c r="F94" s="2864" t="s">
        <v>2594</v>
      </c>
      <c r="G94" s="2864" t="s">
        <v>2595</v>
      </c>
      <c r="H94" s="2865" t="s">
        <v>2596</v>
      </c>
      <c r="I94" s="2865" t="s">
        <v>2597</v>
      </c>
      <c r="J94" s="2866" t="s">
        <v>2598</v>
      </c>
      <c r="K94" s="2866" t="s">
        <v>2599</v>
      </c>
      <c r="L94" s="2866" t="s">
        <v>2600</v>
      </c>
      <c r="M94" s="2867" t="s">
        <v>2601</v>
      </c>
      <c r="N94">
        <f>SUMPRODUCT((A95:A184=ROUNDDOWN(基准地价修正!G3,1))*(B94:M94=基准地价修正!G2)*(B95:M184))</f>
        <v>0.84640000000000004</v>
      </c>
      <c r="Q94" s="2877" t="s">
        <v>2799</v>
      </c>
      <c r="R94" s="2877" t="s">
        <v>2800</v>
      </c>
      <c r="S94" s="2877" t="s">
        <v>2801</v>
      </c>
      <c r="T94" s="2877" t="s">
        <v>2802</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2796</v>
      </c>
      <c r="B185" s="2862"/>
      <c r="C185" s="2862"/>
      <c r="D185" s="2862"/>
      <c r="E185" s="2862"/>
      <c r="F185" s="2862"/>
      <c r="G185" s="2862"/>
      <c r="H185" s="2862"/>
      <c r="I185" s="2862"/>
      <c r="J185" s="2862"/>
      <c r="K185" s="2862"/>
      <c r="L185" s="2862"/>
      <c r="M185" s="2862"/>
    </row>
    <row r="186" spans="1:20">
      <c r="A186" s="2863" t="s">
        <v>2794</v>
      </c>
      <c r="B186" s="2864" t="s">
        <v>2590</v>
      </c>
      <c r="C186" s="2864" t="s">
        <v>2591</v>
      </c>
      <c r="D186" s="2864" t="s">
        <v>2592</v>
      </c>
      <c r="E186" s="2864" t="s">
        <v>2593</v>
      </c>
      <c r="F186" s="2864" t="s">
        <v>2594</v>
      </c>
      <c r="G186" s="2864" t="s">
        <v>2595</v>
      </c>
      <c r="H186" s="2865" t="s">
        <v>2596</v>
      </c>
      <c r="I186" s="2865" t="s">
        <v>2597</v>
      </c>
      <c r="J186" s="2866" t="s">
        <v>2598</v>
      </c>
      <c r="K186" s="2866" t="s">
        <v>2599</v>
      </c>
      <c r="L186" s="2866" t="s">
        <v>2600</v>
      </c>
      <c r="M186" s="2867" t="s">
        <v>2601</v>
      </c>
      <c r="Q186" s="2877" t="s">
        <v>2799</v>
      </c>
      <c r="R186" s="2877" t="s">
        <v>2800</v>
      </c>
      <c r="S186" s="2877" t="s">
        <v>2801</v>
      </c>
      <c r="T186" s="2877" t="s">
        <v>2802</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2797</v>
      </c>
      <c r="B277" s="2862"/>
      <c r="C277" s="2862"/>
      <c r="D277" s="2862"/>
      <c r="E277" s="2862"/>
      <c r="F277" s="2862"/>
      <c r="G277" s="2862"/>
      <c r="H277" s="2862"/>
      <c r="I277" s="2862"/>
      <c r="J277" s="2862"/>
      <c r="K277" s="2862"/>
      <c r="L277" s="2862"/>
      <c r="M277" s="2862"/>
    </row>
    <row r="278" spans="1:21">
      <c r="A278" s="2863" t="s">
        <v>2794</v>
      </c>
      <c r="B278" s="2864" t="s">
        <v>2590</v>
      </c>
      <c r="C278" s="2864" t="s">
        <v>2591</v>
      </c>
      <c r="D278" s="2864" t="s">
        <v>2592</v>
      </c>
      <c r="E278" s="2864" t="s">
        <v>2593</v>
      </c>
      <c r="F278" s="2864" t="s">
        <v>2594</v>
      </c>
      <c r="G278" s="2864" t="s">
        <v>2595</v>
      </c>
      <c r="H278" s="2865" t="s">
        <v>2596</v>
      </c>
      <c r="I278" s="2865" t="s">
        <v>2597</v>
      </c>
      <c r="J278" s="2866" t="s">
        <v>2598</v>
      </c>
      <c r="K278" s="2866" t="s">
        <v>2599</v>
      </c>
      <c r="L278" s="2866" t="s">
        <v>2600</v>
      </c>
      <c r="M278" s="2867" t="s">
        <v>2601</v>
      </c>
      <c r="Q278" s="2877" t="s">
        <v>2799</v>
      </c>
      <c r="R278" s="2877" t="s">
        <v>2800</v>
      </c>
      <c r="S278" s="2877" t="s">
        <v>2803</v>
      </c>
      <c r="T278" s="2877" t="s">
        <v>2804</v>
      </c>
      <c r="U278" s="2877" t="s">
        <v>2802</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2798</v>
      </c>
      <c r="B369" s="2875"/>
      <c r="C369" s="2875"/>
      <c r="D369" s="2875"/>
      <c r="E369" s="2875"/>
      <c r="F369" s="2875"/>
      <c r="G369" s="2875"/>
      <c r="H369" s="2875"/>
      <c r="I369" s="2875"/>
      <c r="J369" s="2875"/>
      <c r="K369" s="2875"/>
      <c r="L369" s="2875"/>
      <c r="M369" s="2875"/>
    </row>
    <row r="370" spans="1:20">
      <c r="A370" s="2863" t="s">
        <v>2794</v>
      </c>
      <c r="B370" s="2864" t="s">
        <v>2590</v>
      </c>
      <c r="C370" s="2864" t="s">
        <v>2591</v>
      </c>
      <c r="D370" s="2864" t="s">
        <v>2592</v>
      </c>
      <c r="E370" s="2864" t="s">
        <v>2593</v>
      </c>
      <c r="F370" s="2864" t="s">
        <v>2594</v>
      </c>
      <c r="G370" s="2864" t="s">
        <v>2595</v>
      </c>
      <c r="H370" s="2865" t="s">
        <v>2596</v>
      </c>
      <c r="I370" s="2865" t="s">
        <v>2597</v>
      </c>
      <c r="J370" s="2866" t="s">
        <v>2598</v>
      </c>
      <c r="K370" s="2866" t="s">
        <v>2599</v>
      </c>
      <c r="L370" s="2866" t="s">
        <v>2600</v>
      </c>
      <c r="M370" s="2867" t="s">
        <v>2601</v>
      </c>
      <c r="N370">
        <f>SUMPRODUCT((A371:A460=ROUNDDOWN(基准地价修正!G3,1))*(B370:M370=基准地价修正!G2)*(B371:M460))</f>
        <v>0.80510000000000004</v>
      </c>
      <c r="Q370" s="2877" t="s">
        <v>2799</v>
      </c>
      <c r="R370" s="2877" t="s">
        <v>2800</v>
      </c>
      <c r="S370" s="2877" t="s">
        <v>2801</v>
      </c>
      <c r="T370" s="2877" t="s">
        <v>2802</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27693</v>
      </c>
      <c r="C2" s="2" t="s">
        <v>106</v>
      </c>
      <c r="D2" s="191"/>
      <c r="E2" s="191"/>
      <c r="F2" s="191"/>
      <c r="G2" s="191"/>
    </row>
    <row r="3" spans="1:7" s="192" customFormat="1" ht="18" customHeight="1" thickBot="1">
      <c r="A3" s="195" t="s">
        <v>58</v>
      </c>
      <c r="B3" s="196">
        <f ca="1">ROUND(B2*10000/'数据-汇总表'!E3,0)</f>
        <v>1622605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170.67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170.67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170.67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265" t="s">
        <v>94</v>
      </c>
    </row>
    <row r="43" spans="1:7" ht="13.5" customHeight="1">
      <c r="A43" s="734" t="s">
        <v>347</v>
      </c>
      <c r="B43" s="207" t="s">
        <v>426</v>
      </c>
      <c r="C43" s="230">
        <f ca="1">ROUND(IF('数据-取费表'!B22&lt;=1,C39*F22*'数据-取费表'!B21/2,C39*(POWER((1+F22),'数据-取费表'!B21/2)-1)),0)</f>
        <v>0</v>
      </c>
      <c r="D43" s="230"/>
      <c r="E43" s="230"/>
      <c r="F43" s="231"/>
      <c r="G43" s="3266"/>
    </row>
    <row r="44" spans="1:7" ht="13.5" customHeight="1">
      <c r="A44" s="734" t="s">
        <v>348</v>
      </c>
      <c r="B44" s="207" t="s">
        <v>428</v>
      </c>
      <c r="C44" s="230">
        <f ca="1">ROUND(IF('数据-取费表'!B22&lt;=1,C40*F22*'数据-取费表'!B21/2,C40*(POWER((1+F22),'数据-取费表'!B21/2)-1)),4)</f>
        <v>5.9999999999999995E-4</v>
      </c>
      <c r="D44" s="230"/>
      <c r="E44" s="230"/>
      <c r="F44" s="231"/>
      <c r="G44" s="3267"/>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114</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79</v>
      </c>
      <c r="D51" s="224"/>
      <c r="E51" s="224"/>
      <c r="F51" s="256"/>
      <c r="G51" s="226" t="s">
        <v>37</v>
      </c>
    </row>
    <row r="52" spans="1:7" s="200" customFormat="1" ht="16.8" thickBot="1">
      <c r="A52" s="257" t="s">
        <v>38</v>
      </c>
      <c r="B52" s="258"/>
      <c r="C52" s="259">
        <f ca="1">C31+C51</f>
        <v>27693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5" t="s">
        <v>3176</v>
      </c>
      <c r="B1" s="3495"/>
    </row>
    <row r="2" spans="1:7" ht="15" thickBot="1">
      <c r="A2" s="2965"/>
      <c r="B2" s="2965"/>
    </row>
    <row r="3" spans="1:7" ht="15" thickBot="1">
      <c r="A3" s="2965"/>
      <c r="B3" s="2965"/>
      <c r="C3" s="2966" t="s">
        <v>2806</v>
      </c>
      <c r="D3" s="2966" t="s">
        <v>2862</v>
      </c>
      <c r="E3" s="2966" t="s">
        <v>2808</v>
      </c>
      <c r="F3" s="2966" t="s">
        <v>2863</v>
      </c>
      <c r="G3" s="2966" t="s">
        <v>2626</v>
      </c>
    </row>
    <row r="4" spans="1:7" ht="15" thickBot="1">
      <c r="A4" s="2967" t="s">
        <v>2861</v>
      </c>
      <c r="B4" s="2968" t="s">
        <v>2867</v>
      </c>
      <c r="C4" s="2966"/>
      <c r="D4" s="2966"/>
      <c r="E4" s="2966"/>
      <c r="F4" s="2966"/>
      <c r="G4" s="2966"/>
    </row>
    <row r="5" spans="1:7">
      <c r="A5" s="2969" t="s">
        <v>2835</v>
      </c>
      <c r="B5" s="2970" t="s">
        <v>2849</v>
      </c>
      <c r="C5" s="2971">
        <v>9.8000000000000004E-2</v>
      </c>
      <c r="D5" s="2971">
        <v>8.6999999999999994E-2</v>
      </c>
      <c r="E5" s="2971">
        <v>8.6999999999999994E-2</v>
      </c>
      <c r="F5" s="2971">
        <v>9.8000000000000004E-2</v>
      </c>
      <c r="G5" s="2972">
        <v>9.5000000000000001E-2</v>
      </c>
    </row>
    <row r="6" spans="1:7">
      <c r="A6" s="2973" t="s">
        <v>144</v>
      </c>
      <c r="B6" s="2974" t="s">
        <v>2864</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2850</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2900</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2918</v>
      </c>
      <c r="C29" s="2983"/>
      <c r="D29" s="2979">
        <v>5.1999999999999998E-2</v>
      </c>
      <c r="E29" s="2979">
        <v>7.0000000000000007E-2</v>
      </c>
      <c r="F29" s="2983"/>
      <c r="G29" s="2981">
        <v>7.0999999999999994E-2</v>
      </c>
    </row>
    <row r="30" spans="1:7">
      <c r="A30" s="2984" t="s">
        <v>296</v>
      </c>
      <c r="B30" s="2970" t="s">
        <v>2851</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2837</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2921</v>
      </c>
      <c r="C50" s="2975">
        <v>9.8000000000000004E-2</v>
      </c>
      <c r="D50" s="2975">
        <v>7.2999999999999995E-2</v>
      </c>
      <c r="E50" s="2975">
        <v>7.0999999999999994E-2</v>
      </c>
      <c r="F50" s="2986"/>
      <c r="G50" s="2976">
        <v>7.2999999999999995E-2</v>
      </c>
    </row>
    <row r="51" spans="1:7">
      <c r="A51" s="2985" t="s">
        <v>296</v>
      </c>
      <c r="B51" s="2974" t="s">
        <v>2923</v>
      </c>
      <c r="C51" s="2975">
        <v>9.9000000000000005E-2</v>
      </c>
      <c r="D51" s="2975">
        <v>8.5000000000000006E-2</v>
      </c>
      <c r="E51" s="2975">
        <v>6.3E-2</v>
      </c>
      <c r="F51" s="2986"/>
      <c r="G51" s="2976">
        <v>9.6000000000000002E-2</v>
      </c>
    </row>
    <row r="52" spans="1:7">
      <c r="A52" s="2985" t="s">
        <v>296</v>
      </c>
      <c r="B52" s="2974" t="s">
        <v>2927</v>
      </c>
      <c r="C52" s="2975">
        <v>7.3999999999999996E-2</v>
      </c>
      <c r="D52" s="2975">
        <v>9.6000000000000002E-2</v>
      </c>
      <c r="E52" s="2975">
        <v>0.05</v>
      </c>
      <c r="F52" s="2986"/>
      <c r="G52" s="2976">
        <v>9.8000000000000004E-2</v>
      </c>
    </row>
    <row r="53" spans="1:7">
      <c r="A53" s="2985" t="s">
        <v>296</v>
      </c>
      <c r="B53" s="2974" t="s">
        <v>2932</v>
      </c>
      <c r="C53" s="2975">
        <v>8.5999999999999993E-2</v>
      </c>
      <c r="D53" s="2986"/>
      <c r="E53" s="2975">
        <v>9.1999999999999998E-2</v>
      </c>
      <c r="F53" s="2986"/>
      <c r="G53" s="2987"/>
    </row>
    <row r="54" spans="1:7" ht="15" thickBot="1">
      <c r="A54" s="2988" t="s">
        <v>296</v>
      </c>
      <c r="B54" s="2978" t="s">
        <v>2935</v>
      </c>
      <c r="C54" s="2979">
        <v>9.6000000000000002E-2</v>
      </c>
      <c r="D54" s="2980"/>
      <c r="E54" s="2989"/>
      <c r="F54" s="2980"/>
      <c r="G54" s="2990"/>
    </row>
    <row r="55" spans="1:7">
      <c r="A55" s="2984" t="s">
        <v>110</v>
      </c>
      <c r="B55" s="2970" t="s">
        <v>2852</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2933</v>
      </c>
      <c r="C78" s="2975">
        <v>0.1</v>
      </c>
      <c r="D78" s="2975">
        <v>8.5000000000000006E-2</v>
      </c>
      <c r="E78" s="2975">
        <v>9.6000000000000002E-2</v>
      </c>
      <c r="F78" s="2986"/>
      <c r="G78" s="2976">
        <v>9.6000000000000002E-2</v>
      </c>
    </row>
    <row r="79" spans="1:7">
      <c r="A79" s="2985" t="s">
        <v>110</v>
      </c>
      <c r="B79" s="2974" t="s">
        <v>2936</v>
      </c>
      <c r="C79" s="2975">
        <v>0.05</v>
      </c>
      <c r="D79" s="2975">
        <v>9.6000000000000002E-2</v>
      </c>
      <c r="E79" s="2975">
        <v>9.5000000000000001E-2</v>
      </c>
      <c r="F79" s="2986"/>
      <c r="G79" s="2976">
        <v>9.8000000000000004E-2</v>
      </c>
    </row>
    <row r="80" spans="1:7">
      <c r="A80" s="2985" t="s">
        <v>110</v>
      </c>
      <c r="B80" s="2974" t="s">
        <v>2940</v>
      </c>
      <c r="C80" s="2975">
        <v>8.5999999999999993E-2</v>
      </c>
      <c r="D80" s="2991"/>
      <c r="E80" s="2975">
        <v>0.1</v>
      </c>
      <c r="F80" s="2986"/>
      <c r="G80" s="2987"/>
    </row>
    <row r="81" spans="1:7">
      <c r="A81" s="2985" t="s">
        <v>110</v>
      </c>
      <c r="B81" s="2974" t="s">
        <v>2945</v>
      </c>
      <c r="C81" s="2975">
        <v>9.6000000000000002E-2</v>
      </c>
      <c r="D81" s="2986"/>
      <c r="E81" s="2975">
        <v>9.8000000000000004E-2</v>
      </c>
      <c r="F81" s="2986"/>
      <c r="G81" s="2987"/>
    </row>
    <row r="82" spans="1:7">
      <c r="A82" s="2985" t="s">
        <v>110</v>
      </c>
      <c r="B82" s="2974" t="s">
        <v>2952</v>
      </c>
      <c r="C82" s="2991"/>
      <c r="D82" s="2986"/>
      <c r="E82" s="2975">
        <v>7.6999999999999999E-2</v>
      </c>
      <c r="F82" s="2986"/>
      <c r="G82" s="2987"/>
    </row>
    <row r="83" spans="1:7">
      <c r="A83" s="2985" t="s">
        <v>110</v>
      </c>
      <c r="B83" s="2974" t="s">
        <v>2958</v>
      </c>
      <c r="C83" s="2986"/>
      <c r="D83" s="2986"/>
      <c r="E83" s="2986"/>
      <c r="F83" s="2975">
        <v>0.1</v>
      </c>
      <c r="G83" s="2992"/>
    </row>
    <row r="84" spans="1:7">
      <c r="A84" s="2985" t="s">
        <v>110</v>
      </c>
      <c r="B84" s="2974" t="s">
        <v>2965</v>
      </c>
      <c r="C84" s="2986"/>
      <c r="D84" s="2986"/>
      <c r="E84" s="2986"/>
      <c r="F84" s="2975">
        <v>0.1</v>
      </c>
      <c r="G84" s="2992"/>
    </row>
    <row r="85" spans="1:7">
      <c r="A85" s="2985" t="s">
        <v>110</v>
      </c>
      <c r="B85" s="2974" t="s">
        <v>2972</v>
      </c>
      <c r="C85" s="2986"/>
      <c r="D85" s="2986"/>
      <c r="E85" s="2986"/>
      <c r="F85" s="2975">
        <v>0.1</v>
      </c>
      <c r="G85" s="2992"/>
    </row>
    <row r="86" spans="1:7" ht="15" thickBot="1">
      <c r="A86" s="2988" t="s">
        <v>110</v>
      </c>
      <c r="B86" s="2978" t="s">
        <v>2977</v>
      </c>
      <c r="C86" s="2979">
        <v>9.8000000000000004E-2</v>
      </c>
      <c r="D86" s="2979">
        <v>9.8000000000000004E-2</v>
      </c>
      <c r="E86" s="2979">
        <v>9.6000000000000002E-2</v>
      </c>
      <c r="F86" s="2989"/>
      <c r="G86" s="2981">
        <v>0.1</v>
      </c>
    </row>
    <row r="87" spans="1:7">
      <c r="A87" s="2984" t="s">
        <v>303</v>
      </c>
      <c r="B87" s="2970" t="s">
        <v>2853</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2946</v>
      </c>
      <c r="C113" s="2975">
        <v>0.1</v>
      </c>
      <c r="D113" s="2975">
        <v>0.1</v>
      </c>
      <c r="E113" s="2986"/>
      <c r="F113" s="2986"/>
      <c r="G113" s="2976">
        <v>0.1</v>
      </c>
    </row>
    <row r="114" spans="1:7">
      <c r="A114" s="2985" t="s">
        <v>303</v>
      </c>
      <c r="B114" s="2974" t="s">
        <v>2953</v>
      </c>
      <c r="C114" s="2975">
        <v>9.7000000000000003E-2</v>
      </c>
      <c r="D114" s="2975">
        <v>9.7000000000000003E-2</v>
      </c>
      <c r="E114" s="2986"/>
      <c r="F114" s="2986"/>
      <c r="G114" s="2976">
        <v>9.9000000000000005E-2</v>
      </c>
    </row>
    <row r="115" spans="1:7">
      <c r="A115" s="2985" t="s">
        <v>303</v>
      </c>
      <c r="B115" s="2974" t="s">
        <v>2959</v>
      </c>
      <c r="C115" s="2975">
        <v>0.1</v>
      </c>
      <c r="D115" s="2975">
        <v>0.1</v>
      </c>
      <c r="E115" s="2986"/>
      <c r="F115" s="2986"/>
      <c r="G115" s="2976">
        <v>0.1</v>
      </c>
    </row>
    <row r="116" spans="1:7">
      <c r="A116" s="2985" t="s">
        <v>303</v>
      </c>
      <c r="B116" s="2974" t="s">
        <v>2966</v>
      </c>
      <c r="C116" s="2975">
        <v>0.1</v>
      </c>
      <c r="D116" s="2975">
        <v>0.1</v>
      </c>
      <c r="E116" s="2986"/>
      <c r="F116" s="2986"/>
      <c r="G116" s="2976">
        <v>0.1</v>
      </c>
    </row>
    <row r="117" spans="1:7">
      <c r="A117" s="2985" t="s">
        <v>303</v>
      </c>
      <c r="B117" s="2974" t="s">
        <v>2973</v>
      </c>
      <c r="C117" s="2975">
        <v>9.7000000000000003E-2</v>
      </c>
      <c r="D117" s="2975">
        <v>9.7000000000000003E-2</v>
      </c>
      <c r="E117" s="2986"/>
      <c r="F117" s="2986"/>
      <c r="G117" s="2976">
        <v>9.7000000000000003E-2</v>
      </c>
    </row>
    <row r="118" spans="1:7">
      <c r="A118" s="2985" t="s">
        <v>303</v>
      </c>
      <c r="B118" s="2974" t="s">
        <v>2978</v>
      </c>
      <c r="C118" s="2975">
        <v>0.1</v>
      </c>
      <c r="D118" s="2975">
        <v>0.1</v>
      </c>
      <c r="E118" s="2986"/>
      <c r="F118" s="2986"/>
      <c r="G118" s="2976">
        <v>0.1</v>
      </c>
    </row>
    <row r="119" spans="1:7">
      <c r="A119" s="2985" t="s">
        <v>303</v>
      </c>
      <c r="B119" s="2974" t="s">
        <v>2982</v>
      </c>
      <c r="C119" s="2975">
        <v>5.0999999999999997E-2</v>
      </c>
      <c r="D119" s="2975">
        <v>5.1999999999999998E-2</v>
      </c>
      <c r="E119" s="2986"/>
      <c r="F119" s="2991"/>
      <c r="G119" s="2976">
        <v>0.06</v>
      </c>
    </row>
    <row r="120" spans="1:7">
      <c r="A120" s="2985" t="s">
        <v>303</v>
      </c>
      <c r="B120" s="2974" t="s">
        <v>2986</v>
      </c>
      <c r="C120" s="2986"/>
      <c r="D120" s="2986"/>
      <c r="E120" s="2986"/>
      <c r="F120" s="2975">
        <v>0.1</v>
      </c>
      <c r="G120" s="2992"/>
    </row>
    <row r="121" spans="1:7">
      <c r="A121" s="2985" t="s">
        <v>303</v>
      </c>
      <c r="B121" s="2974" t="s">
        <v>2991</v>
      </c>
      <c r="C121" s="2986"/>
      <c r="D121" s="2986"/>
      <c r="E121" s="2986"/>
      <c r="F121" s="2975">
        <v>0.1</v>
      </c>
      <c r="G121" s="2992"/>
    </row>
    <row r="122" spans="1:7">
      <c r="A122" s="2985" t="s">
        <v>303</v>
      </c>
      <c r="B122" s="2974" t="s">
        <v>2996</v>
      </c>
      <c r="C122" s="2975">
        <v>0.1</v>
      </c>
      <c r="D122" s="2975">
        <v>0.1</v>
      </c>
      <c r="E122" s="2975">
        <v>9.8000000000000004E-2</v>
      </c>
      <c r="F122" s="2975">
        <v>0.1</v>
      </c>
      <c r="G122" s="2976">
        <v>0.1</v>
      </c>
    </row>
    <row r="123" spans="1:7">
      <c r="A123" s="2985" t="s">
        <v>303</v>
      </c>
      <c r="B123" s="2974" t="s">
        <v>3001</v>
      </c>
      <c r="C123" s="2975">
        <v>0.1</v>
      </c>
      <c r="D123" s="2975">
        <v>0.1</v>
      </c>
      <c r="E123" s="2975">
        <v>9.8000000000000004E-2</v>
      </c>
      <c r="F123" s="2975">
        <v>0.1</v>
      </c>
      <c r="G123" s="2976">
        <v>0.1</v>
      </c>
    </row>
    <row r="124" spans="1:7">
      <c r="A124" s="2985" t="s">
        <v>303</v>
      </c>
      <c r="B124" s="2974" t="s">
        <v>3006</v>
      </c>
      <c r="C124" s="2975">
        <v>0.1</v>
      </c>
      <c r="D124" s="2975">
        <v>0.1</v>
      </c>
      <c r="E124" s="2975">
        <v>9.8000000000000004E-2</v>
      </c>
      <c r="F124" s="2991"/>
      <c r="G124" s="2976">
        <v>0.1</v>
      </c>
    </row>
    <row r="125" spans="1:7">
      <c r="A125" s="2985" t="s">
        <v>303</v>
      </c>
      <c r="B125" s="2974" t="s">
        <v>3011</v>
      </c>
      <c r="C125" s="2975">
        <v>9.8000000000000004E-2</v>
      </c>
      <c r="D125" s="2975">
        <v>9.8000000000000004E-2</v>
      </c>
      <c r="E125" s="2975">
        <v>9.6000000000000002E-2</v>
      </c>
      <c r="F125" s="2991"/>
      <c r="G125" s="2976">
        <v>0.1</v>
      </c>
    </row>
    <row r="126" spans="1:7" ht="15" thickBot="1">
      <c r="A126" s="2988" t="s">
        <v>303</v>
      </c>
      <c r="B126" s="2978" t="s">
        <v>3177</v>
      </c>
      <c r="C126" s="2979">
        <v>0.1</v>
      </c>
      <c r="D126" s="2979">
        <v>0.1</v>
      </c>
      <c r="E126" s="2979">
        <v>9.8000000000000004E-2</v>
      </c>
      <c r="F126" s="2979">
        <v>0.1</v>
      </c>
      <c r="G126" s="2981">
        <v>0.1</v>
      </c>
    </row>
    <row r="127" spans="1:7">
      <c r="A127" s="2984" t="s">
        <v>29</v>
      </c>
      <c r="B127" s="2970" t="s">
        <v>2854</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2924</v>
      </c>
      <c r="C148" s="2975">
        <v>0.13</v>
      </c>
      <c r="D148" s="2975">
        <v>0.13</v>
      </c>
      <c r="E148" s="2975">
        <v>0.13</v>
      </c>
      <c r="F148" s="2986"/>
      <c r="G148" s="2976">
        <v>0.13</v>
      </c>
    </row>
    <row r="149" spans="1:7">
      <c r="A149" s="2985" t="s">
        <v>29</v>
      </c>
      <c r="B149" s="2974" t="s">
        <v>2928</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2947</v>
      </c>
      <c r="C153" s="2975">
        <v>0.13</v>
      </c>
      <c r="D153" s="2975">
        <v>0.13</v>
      </c>
      <c r="E153" s="2975">
        <v>0.13</v>
      </c>
      <c r="F153" s="2975">
        <v>0.13</v>
      </c>
      <c r="G153" s="2976">
        <v>0.13</v>
      </c>
    </row>
    <row r="154" spans="1:7">
      <c r="A154" s="2985" t="s">
        <v>29</v>
      </c>
      <c r="B154" s="2974" t="s">
        <v>2954</v>
      </c>
      <c r="C154" s="2975">
        <v>0.121</v>
      </c>
      <c r="D154" s="2975">
        <v>0.121</v>
      </c>
      <c r="E154" s="2975">
        <v>0.105</v>
      </c>
      <c r="F154" s="2975">
        <v>0.121</v>
      </c>
      <c r="G154" s="2976">
        <v>0.123</v>
      </c>
    </row>
    <row r="155" spans="1:7">
      <c r="A155" s="2985" t="s">
        <v>29</v>
      </c>
      <c r="B155" s="2974" t="s">
        <v>2960</v>
      </c>
      <c r="C155" s="2975">
        <v>0.1</v>
      </c>
      <c r="D155" s="2975">
        <v>0.1</v>
      </c>
      <c r="E155" s="2975">
        <v>0.1</v>
      </c>
      <c r="F155" s="2975">
        <v>0.1</v>
      </c>
      <c r="G155" s="2976">
        <v>0.1</v>
      </c>
    </row>
    <row r="156" spans="1:7">
      <c r="A156" s="2985" t="s">
        <v>29</v>
      </c>
      <c r="B156" s="2974" t="s">
        <v>2967</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2987</v>
      </c>
      <c r="C160" s="2975">
        <v>0.13</v>
      </c>
      <c r="D160" s="2975">
        <v>0.13</v>
      </c>
      <c r="E160" s="2975">
        <v>0.124</v>
      </c>
      <c r="F160" s="2975">
        <v>0.126</v>
      </c>
      <c r="G160" s="2976">
        <v>0.13</v>
      </c>
    </row>
    <row r="161" spans="1:7">
      <c r="A161" s="2985" t="s">
        <v>29</v>
      </c>
      <c r="B161" s="2974" t="s">
        <v>2992</v>
      </c>
      <c r="C161" s="2975">
        <v>0.13</v>
      </c>
      <c r="D161" s="2975">
        <v>0.13</v>
      </c>
      <c r="E161" s="2975">
        <v>0.124</v>
      </c>
      <c r="F161" s="2975">
        <v>0.127</v>
      </c>
      <c r="G161" s="2976">
        <v>0.13</v>
      </c>
    </row>
    <row r="162" spans="1:7">
      <c r="A162" s="2985" t="s">
        <v>29</v>
      </c>
      <c r="B162" s="2974" t="s">
        <v>2997</v>
      </c>
      <c r="C162" s="2975">
        <v>0.1</v>
      </c>
      <c r="D162" s="2975">
        <v>0.1</v>
      </c>
      <c r="E162" s="2975">
        <v>0.1</v>
      </c>
      <c r="F162" s="2975">
        <v>0.121</v>
      </c>
      <c r="G162" s="2976">
        <v>0.105</v>
      </c>
    </row>
    <row r="163" spans="1:7">
      <c r="A163" s="2985" t="s">
        <v>29</v>
      </c>
      <c r="B163" s="2974" t="s">
        <v>3002</v>
      </c>
      <c r="C163" s="2975">
        <v>0.1</v>
      </c>
      <c r="D163" s="2975">
        <v>0.1</v>
      </c>
      <c r="E163" s="2975">
        <v>0.1</v>
      </c>
      <c r="F163" s="2975">
        <v>0.1</v>
      </c>
      <c r="G163" s="2976">
        <v>0.1</v>
      </c>
    </row>
    <row r="164" spans="1:7">
      <c r="A164" s="2985" t="s">
        <v>29</v>
      </c>
      <c r="B164" s="2974" t="s">
        <v>3007</v>
      </c>
      <c r="C164" s="2991"/>
      <c r="D164" s="2991"/>
      <c r="E164" s="2991"/>
      <c r="F164" s="2975">
        <v>0.1</v>
      </c>
      <c r="G164" s="2987"/>
    </row>
    <row r="165" spans="1:7">
      <c r="A165" s="2985" t="s">
        <v>29</v>
      </c>
      <c r="B165" s="2974" t="s">
        <v>3178</v>
      </c>
      <c r="C165" s="2975">
        <v>0.126</v>
      </c>
      <c r="D165" s="2975">
        <v>0.126</v>
      </c>
      <c r="E165" s="2975">
        <v>0.11899999999999999</v>
      </c>
      <c r="F165" s="2975">
        <v>0.13</v>
      </c>
      <c r="G165" s="2976">
        <v>0.128</v>
      </c>
    </row>
    <row r="166" spans="1:7">
      <c r="A166" s="2985" t="s">
        <v>29</v>
      </c>
      <c r="B166" s="2974" t="s">
        <v>3017</v>
      </c>
      <c r="C166" s="2975">
        <v>0.129</v>
      </c>
      <c r="D166" s="2975">
        <v>0.129</v>
      </c>
      <c r="E166" s="2975">
        <v>0.123</v>
      </c>
      <c r="F166" s="2975">
        <v>0.128</v>
      </c>
      <c r="G166" s="2976">
        <v>0.13</v>
      </c>
    </row>
    <row r="167" spans="1:7">
      <c r="A167" s="2985" t="s">
        <v>29</v>
      </c>
      <c r="B167" s="2974" t="s">
        <v>3021</v>
      </c>
      <c r="C167" s="2975">
        <v>0.125</v>
      </c>
      <c r="D167" s="2975">
        <v>0.125</v>
      </c>
      <c r="E167" s="2975">
        <v>0.11700000000000001</v>
      </c>
      <c r="F167" s="2975">
        <v>0.13</v>
      </c>
      <c r="G167" s="2976">
        <v>0.126</v>
      </c>
    </row>
    <row r="168" spans="1:7">
      <c r="A168" s="2985" t="s">
        <v>29</v>
      </c>
      <c r="B168" s="2974" t="s">
        <v>3026</v>
      </c>
      <c r="C168" s="2975">
        <v>0.128</v>
      </c>
      <c r="D168" s="2975">
        <v>0.128</v>
      </c>
      <c r="E168" s="2975">
        <v>0.123</v>
      </c>
      <c r="F168" s="2986"/>
      <c r="G168" s="2976">
        <v>0.13</v>
      </c>
    </row>
    <row r="169" spans="1:7">
      <c r="A169" s="2985" t="s">
        <v>29</v>
      </c>
      <c r="B169" s="2974" t="s">
        <v>3179</v>
      </c>
      <c r="C169" s="2991"/>
      <c r="D169" s="2991"/>
      <c r="E169" s="2991"/>
      <c r="F169" s="2975">
        <v>0.05</v>
      </c>
      <c r="G169" s="2987"/>
    </row>
    <row r="170" spans="1:7">
      <c r="A170" s="2985" t="s">
        <v>29</v>
      </c>
      <c r="B170" s="2974" t="s">
        <v>3180</v>
      </c>
      <c r="C170" s="2991"/>
      <c r="D170" s="2991"/>
      <c r="E170" s="2991"/>
      <c r="F170" s="2975">
        <v>0.05</v>
      </c>
      <c r="G170" s="2987"/>
    </row>
    <row r="171" spans="1:7">
      <c r="A171" s="2985" t="s">
        <v>29</v>
      </c>
      <c r="B171" s="2974" t="s">
        <v>3181</v>
      </c>
      <c r="C171" s="2991"/>
      <c r="D171" s="2991"/>
      <c r="E171" s="2991"/>
      <c r="F171" s="2975">
        <v>0.05</v>
      </c>
      <c r="G171" s="2992"/>
    </row>
    <row r="172" spans="1:7">
      <c r="A172" s="2985" t="s">
        <v>29</v>
      </c>
      <c r="B172" s="2974" t="s">
        <v>3182</v>
      </c>
      <c r="C172" s="2991"/>
      <c r="D172" s="2991"/>
      <c r="E172" s="2991"/>
      <c r="F172" s="2975">
        <v>0.05</v>
      </c>
      <c r="G172" s="2992"/>
    </row>
    <row r="173" spans="1:7">
      <c r="A173" s="2985" t="s">
        <v>29</v>
      </c>
      <c r="B173" s="2974" t="s">
        <v>3183</v>
      </c>
      <c r="C173" s="2991"/>
      <c r="D173" s="2991"/>
      <c r="E173" s="2991"/>
      <c r="F173" s="2975">
        <v>0.05</v>
      </c>
      <c r="G173" s="2987"/>
    </row>
    <row r="174" spans="1:7">
      <c r="A174" s="2985" t="s">
        <v>29</v>
      </c>
      <c r="B174" s="2974" t="s">
        <v>3184</v>
      </c>
      <c r="C174" s="2991"/>
      <c r="D174" s="2991"/>
      <c r="E174" s="2991"/>
      <c r="F174" s="2975">
        <v>0.05</v>
      </c>
      <c r="G174" s="2987"/>
    </row>
    <row r="175" spans="1:7">
      <c r="A175" s="2985" t="s">
        <v>29</v>
      </c>
      <c r="B175" s="2974" t="s">
        <v>3185</v>
      </c>
      <c r="C175" s="2991"/>
      <c r="D175" s="2991"/>
      <c r="E175" s="2991"/>
      <c r="F175" s="2975">
        <v>0.05</v>
      </c>
      <c r="G175" s="2987"/>
    </row>
    <row r="176" spans="1:7">
      <c r="A176" s="2985" t="s">
        <v>29</v>
      </c>
      <c r="B176" s="2974" t="s">
        <v>3186</v>
      </c>
      <c r="C176" s="2991"/>
      <c r="D176" s="2991"/>
      <c r="E176" s="2991"/>
      <c r="F176" s="2975">
        <v>0.05</v>
      </c>
      <c r="G176" s="2987"/>
    </row>
    <row r="177" spans="1:7">
      <c r="A177" s="2985" t="s">
        <v>29</v>
      </c>
      <c r="B177" s="2974" t="s">
        <v>3187</v>
      </c>
      <c r="C177" s="2986"/>
      <c r="D177" s="2986"/>
      <c r="E177" s="2986"/>
      <c r="F177" s="2975">
        <v>0.05</v>
      </c>
      <c r="G177" s="2992"/>
    </row>
    <row r="178" spans="1:7">
      <c r="A178" s="2985" t="s">
        <v>29</v>
      </c>
      <c r="B178" s="2974" t="s">
        <v>3188</v>
      </c>
      <c r="C178" s="2986"/>
      <c r="D178" s="2986"/>
      <c r="E178" s="2986"/>
      <c r="F178" s="2975">
        <v>0.05</v>
      </c>
      <c r="G178" s="2992"/>
    </row>
    <row r="179" spans="1:7">
      <c r="A179" s="2985" t="s">
        <v>29</v>
      </c>
      <c r="B179" s="2974" t="s">
        <v>3189</v>
      </c>
      <c r="C179" s="2986"/>
      <c r="D179" s="2986"/>
      <c r="E179" s="2986"/>
      <c r="F179" s="2975">
        <v>0.05</v>
      </c>
      <c r="G179" s="2992"/>
    </row>
    <row r="180" spans="1:7">
      <c r="A180" s="2985" t="s">
        <v>29</v>
      </c>
      <c r="B180" s="2974" t="s">
        <v>3190</v>
      </c>
      <c r="C180" s="2986"/>
      <c r="D180" s="2986"/>
      <c r="E180" s="2986"/>
      <c r="F180" s="2975">
        <v>0.05</v>
      </c>
      <c r="G180" s="2992"/>
    </row>
    <row r="181" spans="1:7">
      <c r="A181" s="2985" t="s">
        <v>29</v>
      </c>
      <c r="B181" s="2974" t="s">
        <v>3191</v>
      </c>
      <c r="C181" s="2986"/>
      <c r="D181" s="2986"/>
      <c r="E181" s="2986"/>
      <c r="F181" s="2975">
        <v>0.05</v>
      </c>
      <c r="G181" s="2992"/>
    </row>
    <row r="182" spans="1:7">
      <c r="A182" s="2985" t="s">
        <v>29</v>
      </c>
      <c r="B182" s="2974" t="s">
        <v>3192</v>
      </c>
      <c r="C182" s="2986"/>
      <c r="D182" s="2986"/>
      <c r="E182" s="2986"/>
      <c r="F182" s="2975">
        <v>0.05</v>
      </c>
      <c r="G182" s="2992"/>
    </row>
    <row r="183" spans="1:7">
      <c r="A183" s="2985" t="s">
        <v>29</v>
      </c>
      <c r="B183" s="2974" t="s">
        <v>3193</v>
      </c>
      <c r="C183" s="2986"/>
      <c r="D183" s="2986"/>
      <c r="E183" s="2986"/>
      <c r="F183" s="2975">
        <v>0.05</v>
      </c>
      <c r="G183" s="2992"/>
    </row>
    <row r="184" spans="1:7">
      <c r="A184" s="2985" t="s">
        <v>29</v>
      </c>
      <c r="B184" s="2974" t="s">
        <v>3194</v>
      </c>
      <c r="C184" s="2986"/>
      <c r="D184" s="2986"/>
      <c r="E184" s="2986"/>
      <c r="F184" s="2975">
        <v>0.05</v>
      </c>
      <c r="G184" s="2992"/>
    </row>
    <row r="185" spans="1:7">
      <c r="A185" s="2985" t="s">
        <v>29</v>
      </c>
      <c r="B185" s="2974" t="s">
        <v>3195</v>
      </c>
      <c r="C185" s="2986"/>
      <c r="D185" s="2986"/>
      <c r="E185" s="2986"/>
      <c r="F185" s="2975">
        <v>0.05</v>
      </c>
      <c r="G185" s="2992"/>
    </row>
    <row r="186" spans="1:7">
      <c r="A186" s="2985" t="s">
        <v>29</v>
      </c>
      <c r="B186" s="2974" t="s">
        <v>3196</v>
      </c>
      <c r="C186" s="2986"/>
      <c r="D186" s="2986"/>
      <c r="E186" s="2986"/>
      <c r="F186" s="2975">
        <v>0.05</v>
      </c>
      <c r="G186" s="2992"/>
    </row>
    <row r="187" spans="1:7">
      <c r="A187" s="2985" t="s">
        <v>29</v>
      </c>
      <c r="B187" s="2974" t="s">
        <v>3197</v>
      </c>
      <c r="C187" s="2986"/>
      <c r="D187" s="2986"/>
      <c r="E187" s="2986"/>
      <c r="F187" s="2975">
        <v>0.05</v>
      </c>
      <c r="G187" s="2992"/>
    </row>
    <row r="188" spans="1:7">
      <c r="A188" s="2985" t="s">
        <v>29</v>
      </c>
      <c r="B188" s="2974" t="s">
        <v>3198</v>
      </c>
      <c r="C188" s="2986"/>
      <c r="D188" s="2986"/>
      <c r="E188" s="2986"/>
      <c r="F188" s="2975">
        <v>0.05</v>
      </c>
      <c r="G188" s="2992"/>
    </row>
    <row r="189" spans="1:7" ht="15" thickBot="1">
      <c r="A189" s="2988" t="s">
        <v>29</v>
      </c>
      <c r="B189" s="2978" t="s">
        <v>3199</v>
      </c>
      <c r="C189" s="2980"/>
      <c r="D189" s="2980"/>
      <c r="E189" s="2980"/>
      <c r="F189" s="2979">
        <v>0.05</v>
      </c>
      <c r="G189" s="2993"/>
    </row>
    <row r="190" spans="1:7">
      <c r="A190" s="2984" t="s">
        <v>304</v>
      </c>
      <c r="B190" s="2970" t="s">
        <v>2855</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2891</v>
      </c>
      <c r="C199" s="2975">
        <v>0.13</v>
      </c>
      <c r="D199" s="2975">
        <v>0.13</v>
      </c>
      <c r="E199" s="2975">
        <v>0.13</v>
      </c>
      <c r="F199" s="2975">
        <v>0.13</v>
      </c>
      <c r="G199" s="2976">
        <v>0.13</v>
      </c>
    </row>
    <row r="200" spans="1:7">
      <c r="A200" s="2985" t="s">
        <v>304</v>
      </c>
      <c r="B200" s="2974" t="s">
        <v>2894</v>
      </c>
      <c r="C200" s="2991"/>
      <c r="D200" s="2991"/>
      <c r="E200" s="2991"/>
      <c r="F200" s="2975">
        <v>0.13</v>
      </c>
      <c r="G200" s="2987"/>
    </row>
    <row r="201" spans="1:7">
      <c r="A201" s="2985" t="s">
        <v>304</v>
      </c>
      <c r="B201" s="2974" t="s">
        <v>2899</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2902</v>
      </c>
      <c r="C203" s="2975">
        <v>0.129</v>
      </c>
      <c r="D203" s="2975">
        <v>0.129</v>
      </c>
      <c r="E203" s="2975">
        <v>0.13</v>
      </c>
      <c r="F203" s="2975">
        <v>0.13</v>
      </c>
      <c r="G203" s="2976">
        <v>0.13</v>
      </c>
    </row>
    <row r="204" spans="1:7">
      <c r="A204" s="2985" t="s">
        <v>304</v>
      </c>
      <c r="B204" s="2974" t="s">
        <v>2905</v>
      </c>
      <c r="C204" s="2975">
        <v>0.129</v>
      </c>
      <c r="D204" s="2975">
        <v>0.129</v>
      </c>
      <c r="E204" s="2975">
        <v>0.123</v>
      </c>
      <c r="F204" s="2975">
        <v>0.13</v>
      </c>
      <c r="G204" s="2976">
        <v>0.13</v>
      </c>
    </row>
    <row r="205" spans="1:7">
      <c r="A205" s="2985" t="s">
        <v>304</v>
      </c>
      <c r="B205" s="2974" t="s">
        <v>2907</v>
      </c>
      <c r="C205" s="2975">
        <v>0.13</v>
      </c>
      <c r="D205" s="2975">
        <v>0.13</v>
      </c>
      <c r="E205" s="2975">
        <v>0.13</v>
      </c>
      <c r="F205" s="2975">
        <v>0.13</v>
      </c>
      <c r="G205" s="2976">
        <v>0.13</v>
      </c>
    </row>
    <row r="206" spans="1:7">
      <c r="A206" s="2985" t="s">
        <v>304</v>
      </c>
      <c r="B206" s="2974" t="s">
        <v>2910</v>
      </c>
      <c r="C206" s="2975">
        <v>0.13</v>
      </c>
      <c r="D206" s="2975">
        <v>0.13</v>
      </c>
      <c r="E206" s="2975">
        <v>0.13</v>
      </c>
      <c r="F206" s="2975">
        <v>0.128</v>
      </c>
      <c r="G206" s="2976">
        <v>0.13</v>
      </c>
    </row>
    <row r="207" spans="1:7">
      <c r="A207" s="2985" t="s">
        <v>304</v>
      </c>
      <c r="B207" s="2974" t="s">
        <v>2912</v>
      </c>
      <c r="C207" s="2975">
        <v>0.13</v>
      </c>
      <c r="D207" s="2975">
        <v>0.13</v>
      </c>
      <c r="E207" s="2975">
        <v>0.13</v>
      </c>
      <c r="F207" s="2975">
        <v>0.13</v>
      </c>
      <c r="G207" s="2976">
        <v>0.13</v>
      </c>
    </row>
    <row r="208" spans="1:7">
      <c r="A208" s="2985" t="s">
        <v>304</v>
      </c>
      <c r="B208" s="2974" t="s">
        <v>2915</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2922</v>
      </c>
      <c r="C210" s="2975">
        <v>0.121</v>
      </c>
      <c r="D210" s="2975">
        <v>0.121</v>
      </c>
      <c r="E210" s="2975">
        <v>0.125</v>
      </c>
      <c r="F210" s="2975">
        <v>0.13</v>
      </c>
      <c r="G210" s="2976">
        <v>0.123</v>
      </c>
    </row>
    <row r="211" spans="1:7">
      <c r="A211" s="2985" t="s">
        <v>304</v>
      </c>
      <c r="B211" s="2974" t="s">
        <v>2925</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2937</v>
      </c>
      <c r="C214" s="2975">
        <v>0.128</v>
      </c>
      <c r="D214" s="2975">
        <v>0.128</v>
      </c>
      <c r="E214" s="2975">
        <v>0.13</v>
      </c>
      <c r="F214" s="2975">
        <v>0.13</v>
      </c>
      <c r="G214" s="2976">
        <v>0.13</v>
      </c>
    </row>
    <row r="215" spans="1:7">
      <c r="A215" s="2985" t="s">
        <v>304</v>
      </c>
      <c r="B215" s="2974" t="s">
        <v>2941</v>
      </c>
      <c r="C215" s="2975">
        <v>0.13</v>
      </c>
      <c r="D215" s="2975">
        <v>0.13</v>
      </c>
      <c r="E215" s="2975">
        <v>0.13</v>
      </c>
      <c r="F215" s="2975">
        <v>0.129</v>
      </c>
      <c r="G215" s="2976">
        <v>0.13</v>
      </c>
    </row>
    <row r="216" spans="1:7">
      <c r="A216" s="2985" t="s">
        <v>304</v>
      </c>
      <c r="B216" s="2974" t="s">
        <v>2948</v>
      </c>
      <c r="C216" s="2975">
        <v>0.13</v>
      </c>
      <c r="D216" s="2975">
        <v>0.13</v>
      </c>
      <c r="E216" s="2975">
        <v>0.13</v>
      </c>
      <c r="F216" s="2975">
        <v>0.13</v>
      </c>
      <c r="G216" s="2976">
        <v>0.13</v>
      </c>
    </row>
    <row r="217" spans="1:7">
      <c r="A217" s="2985" t="s">
        <v>304</v>
      </c>
      <c r="B217" s="2974" t="s">
        <v>2955</v>
      </c>
      <c r="C217" s="2975">
        <v>0.129</v>
      </c>
      <c r="D217" s="2975">
        <v>0.129</v>
      </c>
      <c r="E217" s="2975">
        <v>0.13</v>
      </c>
      <c r="F217" s="2975">
        <v>0.13</v>
      </c>
      <c r="G217" s="2976">
        <v>0.13</v>
      </c>
    </row>
    <row r="218" spans="1:7">
      <c r="A218" s="2985" t="s">
        <v>304</v>
      </c>
      <c r="B218" s="2974" t="s">
        <v>2961</v>
      </c>
      <c r="C218" s="2986"/>
      <c r="D218" s="2986"/>
      <c r="E218" s="2986"/>
      <c r="F218" s="2975">
        <v>0.05</v>
      </c>
      <c r="G218" s="2992"/>
    </row>
    <row r="219" spans="1:7">
      <c r="A219" s="2985" t="s">
        <v>304</v>
      </c>
      <c r="B219" s="2974" t="s">
        <v>2968</v>
      </c>
      <c r="C219" s="2986"/>
      <c r="D219" s="2986"/>
      <c r="E219" s="2986"/>
      <c r="F219" s="2975">
        <v>0.05</v>
      </c>
      <c r="G219" s="2992"/>
    </row>
    <row r="220" spans="1:7">
      <c r="A220" s="2985" t="s">
        <v>304</v>
      </c>
      <c r="B220" s="2974" t="s">
        <v>2974</v>
      </c>
      <c r="C220" s="2986"/>
      <c r="D220" s="2986"/>
      <c r="E220" s="2986"/>
      <c r="F220" s="2975">
        <v>0.05</v>
      </c>
      <c r="G220" s="2992"/>
    </row>
    <row r="221" spans="1:7">
      <c r="A221" s="2985" t="s">
        <v>304</v>
      </c>
      <c r="B221" s="2974" t="s">
        <v>2979</v>
      </c>
      <c r="C221" s="2986"/>
      <c r="D221" s="2986"/>
      <c r="E221" s="2986"/>
      <c r="F221" s="2975">
        <v>0.05</v>
      </c>
      <c r="G221" s="2992"/>
    </row>
    <row r="222" spans="1:7">
      <c r="A222" s="2985" t="s">
        <v>304</v>
      </c>
      <c r="B222" s="2974" t="s">
        <v>2983</v>
      </c>
      <c r="C222" s="2986"/>
      <c r="D222" s="2986"/>
      <c r="E222" s="2986"/>
      <c r="F222" s="2975">
        <v>0.05</v>
      </c>
      <c r="G222" s="2992"/>
    </row>
    <row r="223" spans="1:7">
      <c r="A223" s="2985" t="s">
        <v>304</v>
      </c>
      <c r="B223" s="2974" t="s">
        <v>2988</v>
      </c>
      <c r="C223" s="2986"/>
      <c r="D223" s="2986"/>
      <c r="E223" s="2986"/>
      <c r="F223" s="2975">
        <v>0.05</v>
      </c>
      <c r="G223" s="2992"/>
    </row>
    <row r="224" spans="1:7">
      <c r="A224" s="2985" t="s">
        <v>304</v>
      </c>
      <c r="B224" s="2974" t="s">
        <v>2993</v>
      </c>
      <c r="C224" s="2986"/>
      <c r="D224" s="2986"/>
      <c r="E224" s="2986"/>
      <c r="F224" s="2975">
        <v>0.05</v>
      </c>
      <c r="G224" s="2992"/>
    </row>
    <row r="225" spans="1:7">
      <c r="A225" s="2985" t="s">
        <v>304</v>
      </c>
      <c r="B225" s="2974" t="s">
        <v>2998</v>
      </c>
      <c r="C225" s="2986"/>
      <c r="D225" s="2986"/>
      <c r="E225" s="2986"/>
      <c r="F225" s="2975">
        <v>0.05</v>
      </c>
      <c r="G225" s="2992"/>
    </row>
    <row r="226" spans="1:7">
      <c r="A226" s="2985" t="s">
        <v>304</v>
      </c>
      <c r="B226" s="2974" t="s">
        <v>3200</v>
      </c>
      <c r="C226" s="2986"/>
      <c r="D226" s="2986"/>
      <c r="E226" s="2986"/>
      <c r="F226" s="2975">
        <v>0.05</v>
      </c>
      <c r="G226" s="2992"/>
    </row>
    <row r="227" spans="1:7">
      <c r="A227" s="2985" t="s">
        <v>304</v>
      </c>
      <c r="B227" s="2974" t="s">
        <v>3201</v>
      </c>
      <c r="C227" s="2986"/>
      <c r="D227" s="2986"/>
      <c r="E227" s="2986"/>
      <c r="F227" s="2975">
        <v>0.05</v>
      </c>
      <c r="G227" s="2992"/>
    </row>
    <row r="228" spans="1:7">
      <c r="A228" s="2985" t="s">
        <v>304</v>
      </c>
      <c r="B228" s="2974" t="s">
        <v>3202</v>
      </c>
      <c r="C228" s="2986"/>
      <c r="D228" s="2986"/>
      <c r="E228" s="2986"/>
      <c r="F228" s="2975">
        <v>0.05</v>
      </c>
      <c r="G228" s="2992"/>
    </row>
    <row r="229" spans="1:7">
      <c r="A229" s="2985" t="s">
        <v>304</v>
      </c>
      <c r="B229" s="2974" t="s">
        <v>3203</v>
      </c>
      <c r="C229" s="2986"/>
      <c r="D229" s="2986"/>
      <c r="E229" s="2986"/>
      <c r="F229" s="2975">
        <v>0.05</v>
      </c>
      <c r="G229" s="2992"/>
    </row>
    <row r="230" spans="1:7">
      <c r="A230" s="2985" t="s">
        <v>304</v>
      </c>
      <c r="B230" s="2974" t="s">
        <v>3204</v>
      </c>
      <c r="C230" s="2986"/>
      <c r="D230" s="2986"/>
      <c r="E230" s="2986"/>
      <c r="F230" s="2975">
        <v>0.05</v>
      </c>
      <c r="G230" s="2992"/>
    </row>
    <row r="231" spans="1:7">
      <c r="A231" s="2985" t="s">
        <v>304</v>
      </c>
      <c r="B231" s="2974" t="s">
        <v>3205</v>
      </c>
      <c r="C231" s="2986"/>
      <c r="D231" s="2986"/>
      <c r="E231" s="2986"/>
      <c r="F231" s="2975">
        <v>0.05</v>
      </c>
      <c r="G231" s="2992"/>
    </row>
    <row r="232" spans="1:7">
      <c r="A232" s="2985" t="s">
        <v>304</v>
      </c>
      <c r="B232" s="2974" t="s">
        <v>3206</v>
      </c>
      <c r="C232" s="2986"/>
      <c r="D232" s="2986"/>
      <c r="E232" s="2986"/>
      <c r="F232" s="2975">
        <v>0.05</v>
      </c>
      <c r="G232" s="2992"/>
    </row>
    <row r="233" spans="1:7" ht="15" thickBot="1">
      <c r="A233" s="2988" t="s">
        <v>304</v>
      </c>
      <c r="B233" s="2978" t="s">
        <v>3207</v>
      </c>
      <c r="C233" s="2980"/>
      <c r="D233" s="2980"/>
      <c r="E233" s="2980"/>
      <c r="F233" s="2979">
        <v>0.05</v>
      </c>
      <c r="G233" s="2993"/>
    </row>
    <row r="234" spans="1:7">
      <c r="A234" s="2984" t="s">
        <v>305</v>
      </c>
      <c r="B234" s="2970" t="s">
        <v>2856</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2876</v>
      </c>
      <c r="C238" s="2975">
        <v>0.14899999999999999</v>
      </c>
      <c r="D238" s="2975">
        <v>0.14899999999999999</v>
      </c>
      <c r="E238" s="2975">
        <v>0.15</v>
      </c>
      <c r="F238" s="2975">
        <v>0.15</v>
      </c>
      <c r="G238" s="2976">
        <v>0.15</v>
      </c>
    </row>
    <row r="239" spans="1:7">
      <c r="A239" s="2985" t="s">
        <v>305</v>
      </c>
      <c r="B239" s="2974" t="s">
        <v>2880</v>
      </c>
      <c r="C239" s="2975">
        <v>0.15</v>
      </c>
      <c r="D239" s="2975">
        <v>0.15</v>
      </c>
      <c r="E239" s="2975">
        <v>0.15</v>
      </c>
      <c r="F239" s="2975">
        <v>0.15</v>
      </c>
      <c r="G239" s="2976">
        <v>0.15</v>
      </c>
    </row>
    <row r="240" spans="1:7">
      <c r="A240" s="2985" t="s">
        <v>305</v>
      </c>
      <c r="B240" s="2974" t="s">
        <v>2885</v>
      </c>
      <c r="C240" s="2975">
        <v>0.15</v>
      </c>
      <c r="D240" s="2975">
        <v>0.15</v>
      </c>
      <c r="E240" s="2975">
        <v>0.15</v>
      </c>
      <c r="F240" s="2975">
        <v>0.15</v>
      </c>
      <c r="G240" s="2976">
        <v>0.15</v>
      </c>
    </row>
    <row r="241" spans="1:7">
      <c r="A241" s="2985" t="s">
        <v>305</v>
      </c>
      <c r="B241" s="2974" t="s">
        <v>2889</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2895</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2903</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2908</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2916</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2929</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2938</v>
      </c>
      <c r="C258" s="2975">
        <v>0.14299999999999999</v>
      </c>
      <c r="D258" s="2975">
        <v>0.14299999999999999</v>
      </c>
      <c r="E258" s="2975">
        <v>0.15</v>
      </c>
      <c r="F258" s="2975">
        <v>0.14799999999999999</v>
      </c>
      <c r="G258" s="2976">
        <v>0.14599999999999999</v>
      </c>
    </row>
    <row r="259" spans="1:7">
      <c r="A259" s="2985" t="s">
        <v>305</v>
      </c>
      <c r="B259" s="2974" t="s">
        <v>2942</v>
      </c>
      <c r="C259" s="2975">
        <v>0.14399999999999999</v>
      </c>
      <c r="D259" s="2975">
        <v>0.14399999999999999</v>
      </c>
      <c r="E259" s="2975">
        <v>0.14899999999999999</v>
      </c>
      <c r="F259" s="2975">
        <v>0.14699999999999999</v>
      </c>
      <c r="G259" s="2976">
        <v>0.14599999999999999</v>
      </c>
    </row>
    <row r="260" spans="1:7">
      <c r="A260" s="2985" t="s">
        <v>305</v>
      </c>
      <c r="B260" s="2974" t="s">
        <v>2949</v>
      </c>
      <c r="C260" s="2975">
        <v>0.109</v>
      </c>
      <c r="D260" s="2975">
        <v>0.111</v>
      </c>
      <c r="E260" s="2975">
        <v>0.13100000000000001</v>
      </c>
      <c r="F260" s="2975">
        <v>0.126</v>
      </c>
      <c r="G260" s="2976">
        <v>0.11899999999999999</v>
      </c>
    </row>
    <row r="261" spans="1:7">
      <c r="A261" s="2985" t="s">
        <v>305</v>
      </c>
      <c r="B261" s="2974" t="s">
        <v>2956</v>
      </c>
      <c r="C261" s="2975">
        <v>0.1</v>
      </c>
      <c r="D261" s="2975">
        <v>0.1</v>
      </c>
      <c r="E261" s="2975">
        <v>0.11799999999999999</v>
      </c>
      <c r="F261" s="2975">
        <v>0.108</v>
      </c>
      <c r="G261" s="2976">
        <v>0.107</v>
      </c>
    </row>
    <row r="262" spans="1:7">
      <c r="A262" s="2985" t="s">
        <v>305</v>
      </c>
      <c r="B262" s="2974" t="s">
        <v>2962</v>
      </c>
      <c r="C262" s="2975">
        <v>0.1</v>
      </c>
      <c r="D262" s="2975">
        <v>0.1</v>
      </c>
      <c r="E262" s="2975">
        <v>0.1</v>
      </c>
      <c r="F262" s="2975">
        <v>0.14099999999999999</v>
      </c>
      <c r="G262" s="2976">
        <v>0.1</v>
      </c>
    </row>
    <row r="263" spans="1:7">
      <c r="A263" s="2985" t="s">
        <v>305</v>
      </c>
      <c r="B263" s="2974" t="s">
        <v>2969</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2980</v>
      </c>
      <c r="C265" s="2986"/>
      <c r="D265" s="2986"/>
      <c r="E265" s="2986"/>
      <c r="F265" s="2975">
        <v>0.05</v>
      </c>
      <c r="G265" s="2992"/>
    </row>
    <row r="266" spans="1:7">
      <c r="A266" s="2985" t="s">
        <v>305</v>
      </c>
      <c r="B266" s="2974" t="s">
        <v>2984</v>
      </c>
      <c r="C266" s="2986"/>
      <c r="D266" s="2986"/>
      <c r="E266" s="2986"/>
      <c r="F266" s="2975">
        <v>0.05</v>
      </c>
      <c r="G266" s="2992"/>
    </row>
    <row r="267" spans="1:7">
      <c r="A267" s="2985" t="s">
        <v>305</v>
      </c>
      <c r="B267" s="2974" t="s">
        <v>2989</v>
      </c>
      <c r="C267" s="2986"/>
      <c r="D267" s="2986"/>
      <c r="E267" s="2986"/>
      <c r="F267" s="2975">
        <v>0.05</v>
      </c>
      <c r="G267" s="2992"/>
    </row>
    <row r="268" spans="1:7">
      <c r="A268" s="2985" t="s">
        <v>305</v>
      </c>
      <c r="B268" s="2974" t="s">
        <v>2994</v>
      </c>
      <c r="C268" s="2986"/>
      <c r="D268" s="2986"/>
      <c r="E268" s="2986"/>
      <c r="F268" s="2975">
        <v>0.05</v>
      </c>
      <c r="G268" s="2992"/>
    </row>
    <row r="269" spans="1:7">
      <c r="A269" s="2985" t="s">
        <v>305</v>
      </c>
      <c r="B269" s="2974" t="s">
        <v>2999</v>
      </c>
      <c r="C269" s="2986"/>
      <c r="D269" s="2986"/>
      <c r="E269" s="2986"/>
      <c r="F269" s="2975">
        <v>0.05</v>
      </c>
      <c r="G269" s="2992"/>
    </row>
    <row r="270" spans="1:7">
      <c r="A270" s="2985" t="s">
        <v>305</v>
      </c>
      <c r="B270" s="2974" t="s">
        <v>3004</v>
      </c>
      <c r="C270" s="2986"/>
      <c r="D270" s="2986"/>
      <c r="E270" s="2986"/>
      <c r="F270" s="2975">
        <v>0.05</v>
      </c>
      <c r="G270" s="2992"/>
    </row>
    <row r="271" spans="1:7">
      <c r="A271" s="2985" t="s">
        <v>305</v>
      </c>
      <c r="B271" s="2974" t="s">
        <v>3208</v>
      </c>
      <c r="C271" s="2986"/>
      <c r="D271" s="2986"/>
      <c r="E271" s="2986"/>
      <c r="F271" s="2975">
        <v>0.05</v>
      </c>
      <c r="G271" s="2992"/>
    </row>
    <row r="272" spans="1:7">
      <c r="A272" s="2985" t="s">
        <v>305</v>
      </c>
      <c r="B272" s="2974" t="s">
        <v>3209</v>
      </c>
      <c r="C272" s="2986"/>
      <c r="D272" s="2986"/>
      <c r="E272" s="2986"/>
      <c r="F272" s="2975">
        <v>0.05</v>
      </c>
      <c r="G272" s="2992"/>
    </row>
    <row r="273" spans="1:7">
      <c r="A273" s="2985" t="s">
        <v>305</v>
      </c>
      <c r="B273" s="2974" t="s">
        <v>3210</v>
      </c>
      <c r="C273" s="2986"/>
      <c r="D273" s="2986"/>
      <c r="E273" s="2986"/>
      <c r="F273" s="2975">
        <v>0.05</v>
      </c>
      <c r="G273" s="2992"/>
    </row>
    <row r="274" spans="1:7">
      <c r="A274" s="2985" t="s">
        <v>305</v>
      </c>
      <c r="B274" s="2974" t="s">
        <v>3211</v>
      </c>
      <c r="C274" s="2986"/>
      <c r="D274" s="2986"/>
      <c r="E274" s="2986"/>
      <c r="F274" s="2975">
        <v>0.05</v>
      </c>
      <c r="G274" s="2992"/>
    </row>
    <row r="275" spans="1:7">
      <c r="A275" s="2985" t="s">
        <v>305</v>
      </c>
      <c r="B275" s="2974" t="s">
        <v>3212</v>
      </c>
      <c r="C275" s="2986"/>
      <c r="D275" s="2986"/>
      <c r="E275" s="2986"/>
      <c r="F275" s="2975">
        <v>0.05</v>
      </c>
      <c r="G275" s="2992"/>
    </row>
    <row r="276" spans="1:7" ht="15" thickBot="1">
      <c r="A276" s="2988" t="s">
        <v>305</v>
      </c>
      <c r="B276" s="2978" t="s">
        <v>3213</v>
      </c>
      <c r="C276" s="2980"/>
      <c r="D276" s="2980"/>
      <c r="E276" s="2980"/>
      <c r="F276" s="2979">
        <v>0.05</v>
      </c>
      <c r="G276" s="2993"/>
    </row>
    <row r="277" spans="1:7">
      <c r="A277" s="2984" t="s">
        <v>306</v>
      </c>
      <c r="B277" s="2970" t="s">
        <v>2857</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2869</v>
      </c>
      <c r="C279" s="2975">
        <v>0.15</v>
      </c>
      <c r="D279" s="2975">
        <v>0.15</v>
      </c>
      <c r="E279" s="2975">
        <v>0.15</v>
      </c>
      <c r="F279" s="2975">
        <v>0.15</v>
      </c>
      <c r="G279" s="2976">
        <v>0.15</v>
      </c>
    </row>
    <row r="280" spans="1:7">
      <c r="A280" s="2985" t="s">
        <v>306</v>
      </c>
      <c r="B280" s="2974" t="s">
        <v>2873</v>
      </c>
      <c r="C280" s="2975">
        <v>0.15</v>
      </c>
      <c r="D280" s="2975">
        <v>0.15</v>
      </c>
      <c r="E280" s="2975">
        <v>0.15</v>
      </c>
      <c r="F280" s="2975">
        <v>0.15</v>
      </c>
      <c r="G280" s="2976">
        <v>0.15</v>
      </c>
    </row>
    <row r="281" spans="1:7">
      <c r="A281" s="2985" t="s">
        <v>306</v>
      </c>
      <c r="B281" s="2974" t="s">
        <v>2877</v>
      </c>
      <c r="C281" s="2975">
        <v>0.15</v>
      </c>
      <c r="D281" s="2975">
        <v>0.15</v>
      </c>
      <c r="E281" s="2975">
        <v>0.15</v>
      </c>
      <c r="F281" s="2975">
        <v>0.15</v>
      </c>
      <c r="G281" s="2976">
        <v>0.15</v>
      </c>
    </row>
    <row r="282" spans="1:7">
      <c r="A282" s="2985" t="s">
        <v>306</v>
      </c>
      <c r="B282" s="2974" t="s">
        <v>2881</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2896</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2901</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2911</v>
      </c>
      <c r="C293" s="2975">
        <v>0.15</v>
      </c>
      <c r="D293" s="2975">
        <v>0.15</v>
      </c>
      <c r="E293" s="2975">
        <v>0.15</v>
      </c>
      <c r="F293" s="2975">
        <v>0.14499999999999999</v>
      </c>
      <c r="G293" s="2976">
        <v>0.15</v>
      </c>
    </row>
    <row r="294" spans="1:7">
      <c r="A294" s="2985" t="s">
        <v>306</v>
      </c>
      <c r="B294" s="2974" t="s">
        <v>2913</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2930</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2943</v>
      </c>
      <c r="C302" s="2975">
        <v>0.15</v>
      </c>
      <c r="D302" s="2975">
        <v>0.15</v>
      </c>
      <c r="E302" s="2975">
        <v>0.15</v>
      </c>
      <c r="F302" s="2975">
        <v>0.14699999999999999</v>
      </c>
      <c r="G302" s="2976">
        <v>0.15</v>
      </c>
    </row>
    <row r="303" spans="1:7">
      <c r="A303" s="2985" t="s">
        <v>306</v>
      </c>
      <c r="B303" s="2974" t="s">
        <v>2950</v>
      </c>
      <c r="C303" s="2975">
        <v>0.15</v>
      </c>
      <c r="D303" s="2975">
        <v>0.15</v>
      </c>
      <c r="E303" s="2975">
        <v>0.15</v>
      </c>
      <c r="F303" s="2975">
        <v>0.14199999999999999</v>
      </c>
      <c r="G303" s="2976">
        <v>0.15</v>
      </c>
    </row>
    <row r="304" spans="1:7">
      <c r="A304" s="2985" t="s">
        <v>306</v>
      </c>
      <c r="B304" s="2974" t="s">
        <v>2957</v>
      </c>
      <c r="C304" s="2975">
        <v>0.15</v>
      </c>
      <c r="D304" s="2975">
        <v>0.15</v>
      </c>
      <c r="E304" s="2975">
        <v>0.15</v>
      </c>
      <c r="F304" s="2975">
        <v>0.14499999999999999</v>
      </c>
      <c r="G304" s="2976">
        <v>0.15</v>
      </c>
    </row>
    <row r="305" spans="1:7">
      <c r="A305" s="2985" t="s">
        <v>306</v>
      </c>
      <c r="B305" s="2974" t="s">
        <v>2963</v>
      </c>
      <c r="C305" s="2975">
        <v>0.15</v>
      </c>
      <c r="D305" s="2975">
        <v>0.15</v>
      </c>
      <c r="E305" s="2975">
        <v>0.15</v>
      </c>
      <c r="F305" s="2975">
        <v>0.111</v>
      </c>
      <c r="G305" s="2976">
        <v>0.15</v>
      </c>
    </row>
    <row r="306" spans="1:7">
      <c r="A306" s="2985" t="s">
        <v>306</v>
      </c>
      <c r="B306" s="2974" t="s">
        <v>2970</v>
      </c>
      <c r="C306" s="2975">
        <v>0.15</v>
      </c>
      <c r="D306" s="2975">
        <v>0.15</v>
      </c>
      <c r="E306" s="2975">
        <v>0.15</v>
      </c>
      <c r="F306" s="2975">
        <v>0.126</v>
      </c>
      <c r="G306" s="2976">
        <v>0.15</v>
      </c>
    </row>
    <row r="307" spans="1:7">
      <c r="A307" s="2985" t="s">
        <v>306</v>
      </c>
      <c r="B307" s="2974" t="s">
        <v>2975</v>
      </c>
      <c r="C307" s="2975">
        <v>0.15</v>
      </c>
      <c r="D307" s="2975">
        <v>0.15</v>
      </c>
      <c r="E307" s="2975">
        <v>0.15</v>
      </c>
      <c r="F307" s="2975">
        <v>0.12</v>
      </c>
      <c r="G307" s="2976">
        <v>0.15</v>
      </c>
    </row>
    <row r="308" spans="1:7">
      <c r="A308" s="2985" t="s">
        <v>306</v>
      </c>
      <c r="B308" s="2974" t="s">
        <v>2981</v>
      </c>
      <c r="C308" s="2975">
        <v>0.15</v>
      </c>
      <c r="D308" s="2975">
        <v>0.15</v>
      </c>
      <c r="E308" s="2975">
        <v>0.15</v>
      </c>
      <c r="F308" s="2975">
        <v>0.13</v>
      </c>
      <c r="G308" s="2976">
        <v>0.15</v>
      </c>
    </row>
    <row r="309" spans="1:7">
      <c r="A309" s="2985" t="s">
        <v>306</v>
      </c>
      <c r="B309" s="2974" t="s">
        <v>2985</v>
      </c>
      <c r="C309" s="2975">
        <v>0.15</v>
      </c>
      <c r="D309" s="2975">
        <v>0.15</v>
      </c>
      <c r="E309" s="2975">
        <v>0.15</v>
      </c>
      <c r="F309" s="2975">
        <v>0.14099999999999999</v>
      </c>
      <c r="G309" s="2976">
        <v>0.15</v>
      </c>
    </row>
    <row r="310" spans="1:7">
      <c r="A310" s="2985" t="s">
        <v>306</v>
      </c>
      <c r="B310" s="2974" t="s">
        <v>2990</v>
      </c>
      <c r="C310" s="2975">
        <v>0.15</v>
      </c>
      <c r="D310" s="2975">
        <v>0.15</v>
      </c>
      <c r="E310" s="2975">
        <v>0.15</v>
      </c>
      <c r="F310" s="2975">
        <v>0.15</v>
      </c>
      <c r="G310" s="2976">
        <v>0.15</v>
      </c>
    </row>
    <row r="311" spans="1:7">
      <c r="A311" s="2985" t="s">
        <v>306</v>
      </c>
      <c r="B311" s="2974" t="s">
        <v>2995</v>
      </c>
      <c r="C311" s="2975">
        <v>0.13200000000000001</v>
      </c>
      <c r="D311" s="2975">
        <v>0.13300000000000001</v>
      </c>
      <c r="E311" s="2975">
        <v>0.14499999999999999</v>
      </c>
      <c r="F311" s="2975">
        <v>0.14199999999999999</v>
      </c>
      <c r="G311" s="2976">
        <v>0.14000000000000001</v>
      </c>
    </row>
    <row r="312" spans="1:7">
      <c r="A312" s="2985" t="s">
        <v>306</v>
      </c>
      <c r="B312" s="2974" t="s">
        <v>3000</v>
      </c>
      <c r="C312" s="2975">
        <v>0.13800000000000001</v>
      </c>
      <c r="D312" s="2975">
        <v>0.14000000000000001</v>
      </c>
      <c r="E312" s="2975">
        <v>0.14599999999999999</v>
      </c>
      <c r="F312" s="2975">
        <v>0.14899999999999999</v>
      </c>
      <c r="G312" s="2976">
        <v>0.14199999999999999</v>
      </c>
    </row>
    <row r="313" spans="1:7">
      <c r="A313" s="2985" t="s">
        <v>306</v>
      </c>
      <c r="B313" s="2974" t="s">
        <v>3005</v>
      </c>
      <c r="C313" s="2975">
        <v>0.125</v>
      </c>
      <c r="D313" s="2975">
        <v>0.127</v>
      </c>
      <c r="E313" s="2975">
        <v>0.14399999999999999</v>
      </c>
      <c r="F313" s="2975">
        <v>0.115</v>
      </c>
      <c r="G313" s="2976">
        <v>0.13600000000000001</v>
      </c>
    </row>
    <row r="314" spans="1:7">
      <c r="A314" s="2985" t="s">
        <v>306</v>
      </c>
      <c r="B314" s="2974" t="s">
        <v>3214</v>
      </c>
      <c r="C314" s="2991"/>
      <c r="D314" s="2991"/>
      <c r="E314" s="2991"/>
      <c r="F314" s="2975">
        <v>0.05</v>
      </c>
      <c r="G314" s="2992"/>
    </row>
    <row r="315" spans="1:7">
      <c r="A315" s="2985" t="s">
        <v>306</v>
      </c>
      <c r="B315" s="2974" t="s">
        <v>3215</v>
      </c>
      <c r="C315" s="2991"/>
      <c r="D315" s="2991"/>
      <c r="E315" s="2991"/>
      <c r="F315" s="2975">
        <v>0.05</v>
      </c>
      <c r="G315" s="2992"/>
    </row>
    <row r="316" spans="1:7">
      <c r="A316" s="2985" t="s">
        <v>306</v>
      </c>
      <c r="B316" s="2974" t="s">
        <v>3216</v>
      </c>
      <c r="C316" s="2986"/>
      <c r="D316" s="2986"/>
      <c r="E316" s="2986"/>
      <c r="F316" s="2975">
        <v>0.05</v>
      </c>
      <c r="G316" s="2992"/>
    </row>
    <row r="317" spans="1:7">
      <c r="A317" s="2985" t="s">
        <v>306</v>
      </c>
      <c r="B317" s="2974" t="s">
        <v>3217</v>
      </c>
      <c r="C317" s="2986"/>
      <c r="D317" s="2986"/>
      <c r="E317" s="2986"/>
      <c r="F317" s="2975">
        <v>0.05</v>
      </c>
      <c r="G317" s="2992"/>
    </row>
    <row r="318" spans="1:7">
      <c r="A318" s="2985" t="s">
        <v>306</v>
      </c>
      <c r="B318" s="2974" t="s">
        <v>3218</v>
      </c>
      <c r="C318" s="2986"/>
      <c r="D318" s="2986"/>
      <c r="E318" s="2986"/>
      <c r="F318" s="2975">
        <v>0.05</v>
      </c>
      <c r="G318" s="2992"/>
    </row>
    <row r="319" spans="1:7">
      <c r="A319" s="2985" t="s">
        <v>306</v>
      </c>
      <c r="B319" s="2974" t="s">
        <v>3219</v>
      </c>
      <c r="C319" s="2986"/>
      <c r="D319" s="2986"/>
      <c r="E319" s="2986"/>
      <c r="F319" s="2975">
        <v>0.05</v>
      </c>
      <c r="G319" s="2992"/>
    </row>
    <row r="320" spans="1:7">
      <c r="A320" s="2985" t="s">
        <v>306</v>
      </c>
      <c r="B320" s="2974" t="s">
        <v>3220</v>
      </c>
      <c r="C320" s="2986"/>
      <c r="D320" s="2986"/>
      <c r="E320" s="2986"/>
      <c r="F320" s="2975">
        <v>0.05</v>
      </c>
      <c r="G320" s="2992"/>
    </row>
    <row r="321" spans="1:7">
      <c r="A321" s="2985" t="s">
        <v>306</v>
      </c>
      <c r="B321" s="2974" t="s">
        <v>3221</v>
      </c>
      <c r="C321" s="2986"/>
      <c r="D321" s="2986"/>
      <c r="E321" s="2986"/>
      <c r="F321" s="2975">
        <v>0.05</v>
      </c>
      <c r="G321" s="2992"/>
    </row>
    <row r="322" spans="1:7">
      <c r="A322" s="2985" t="s">
        <v>306</v>
      </c>
      <c r="B322" s="2974" t="s">
        <v>3222</v>
      </c>
      <c r="C322" s="2986"/>
      <c r="D322" s="2986"/>
      <c r="E322" s="2986"/>
      <c r="F322" s="2975">
        <v>0.05</v>
      </c>
      <c r="G322" s="2992"/>
    </row>
    <row r="323" spans="1:7">
      <c r="A323" s="2985" t="s">
        <v>306</v>
      </c>
      <c r="B323" s="2974" t="s">
        <v>3223</v>
      </c>
      <c r="C323" s="2986"/>
      <c r="D323" s="2986"/>
      <c r="E323" s="2986"/>
      <c r="F323" s="2975">
        <v>0.05</v>
      </c>
      <c r="G323" s="2992"/>
    </row>
    <row r="324" spans="1:7">
      <c r="A324" s="2985" t="s">
        <v>306</v>
      </c>
      <c r="B324" s="2974" t="s">
        <v>3224</v>
      </c>
      <c r="C324" s="2986"/>
      <c r="D324" s="2986"/>
      <c r="E324" s="2986"/>
      <c r="F324" s="2975">
        <v>0.05</v>
      </c>
      <c r="G324" s="2992"/>
    </row>
    <row r="325" spans="1:7">
      <c r="A325" s="2985" t="s">
        <v>306</v>
      </c>
      <c r="B325" s="2974" t="s">
        <v>3225</v>
      </c>
      <c r="C325" s="2986"/>
      <c r="D325" s="2986"/>
      <c r="E325" s="2986"/>
      <c r="F325" s="2975">
        <v>0.05</v>
      </c>
      <c r="G325" s="2992"/>
    </row>
    <row r="326" spans="1:7" ht="15" thickBot="1">
      <c r="A326" s="2988" t="s">
        <v>306</v>
      </c>
      <c r="B326" s="2978" t="s">
        <v>3226</v>
      </c>
      <c r="C326" s="2980"/>
      <c r="D326" s="2980"/>
      <c r="E326" s="2980"/>
      <c r="F326" s="2979">
        <v>0.05</v>
      </c>
      <c r="G326" s="2993"/>
    </row>
    <row r="327" spans="1:7">
      <c r="A327" s="2984" t="s">
        <v>307</v>
      </c>
      <c r="B327" s="2970" t="s">
        <v>2858</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2870</v>
      </c>
      <c r="C329" s="2975">
        <v>0.15</v>
      </c>
      <c r="D329" s="2975">
        <v>0.15</v>
      </c>
      <c r="E329" s="2975">
        <v>0.15</v>
      </c>
      <c r="F329" s="2975">
        <v>0.15</v>
      </c>
      <c r="G329" s="2976">
        <v>0.15</v>
      </c>
    </row>
    <row r="330" spans="1:7">
      <c r="A330" s="2985" t="s">
        <v>307</v>
      </c>
      <c r="B330" s="2974" t="s">
        <v>2874</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2882</v>
      </c>
      <c r="C332" s="2975">
        <v>0.15</v>
      </c>
      <c r="D332" s="2975">
        <v>0.15</v>
      </c>
      <c r="E332" s="2975">
        <v>0.15</v>
      </c>
      <c r="F332" s="2975">
        <v>0.15</v>
      </c>
      <c r="G332" s="2976">
        <v>0.15</v>
      </c>
    </row>
    <row r="333" spans="1:7">
      <c r="A333" s="2985" t="s">
        <v>307</v>
      </c>
      <c r="B333" s="2974" t="s">
        <v>2886</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2892</v>
      </c>
      <c r="C336" s="2975">
        <v>0.15</v>
      </c>
      <c r="D336" s="2975">
        <v>0.15</v>
      </c>
      <c r="E336" s="2975">
        <v>0.15</v>
      </c>
      <c r="F336" s="2975">
        <v>0.14199999999999999</v>
      </c>
      <c r="G336" s="2976">
        <v>0.15</v>
      </c>
    </row>
    <row r="337" spans="1:7">
      <c r="A337" s="2985" t="s">
        <v>307</v>
      </c>
      <c r="B337" s="2974" t="s">
        <v>2897</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2904</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2909</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2917</v>
      </c>
      <c r="C345" s="2975">
        <v>0.15</v>
      </c>
      <c r="D345" s="2975">
        <v>0.15</v>
      </c>
      <c r="E345" s="2975">
        <v>0.15</v>
      </c>
      <c r="F345" s="2975">
        <v>0.13800000000000001</v>
      </c>
      <c r="G345" s="2976">
        <v>0.15</v>
      </c>
    </row>
    <row r="346" spans="1:7">
      <c r="A346" s="2985" t="s">
        <v>307</v>
      </c>
      <c r="B346" s="2974" t="s">
        <v>2919</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2926</v>
      </c>
      <c r="C348" s="2975">
        <v>0.15</v>
      </c>
      <c r="D348" s="2975">
        <v>0.15</v>
      </c>
      <c r="E348" s="2975">
        <v>0.15</v>
      </c>
      <c r="F348" s="2975">
        <v>0.14399999999999999</v>
      </c>
      <c r="G348" s="2976">
        <v>0.15</v>
      </c>
    </row>
    <row r="349" spans="1:7">
      <c r="A349" s="2985" t="s">
        <v>307</v>
      </c>
      <c r="B349" s="2974" t="s">
        <v>2931</v>
      </c>
      <c r="C349" s="2975">
        <v>0.15</v>
      </c>
      <c r="D349" s="2975">
        <v>0.15</v>
      </c>
      <c r="E349" s="2975">
        <v>0.15</v>
      </c>
      <c r="F349" s="2975">
        <v>0.15</v>
      </c>
      <c r="G349" s="2976">
        <v>0.15</v>
      </c>
    </row>
    <row r="350" spans="1:7">
      <c r="A350" s="2985" t="s">
        <v>307</v>
      </c>
      <c r="B350" s="2974" t="s">
        <v>2934</v>
      </c>
      <c r="C350" s="2975">
        <v>0.15</v>
      </c>
      <c r="D350" s="2975">
        <v>0.15</v>
      </c>
      <c r="E350" s="2975">
        <v>0.15</v>
      </c>
      <c r="F350" s="2975">
        <v>0.14699999999999999</v>
      </c>
      <c r="G350" s="2976">
        <v>0.15</v>
      </c>
    </row>
    <row r="351" spans="1:7">
      <c r="A351" s="2985" t="s">
        <v>307</v>
      </c>
      <c r="B351" s="2974" t="s">
        <v>2939</v>
      </c>
      <c r="C351" s="2975">
        <v>0.15</v>
      </c>
      <c r="D351" s="2975">
        <v>0.15</v>
      </c>
      <c r="E351" s="2975">
        <v>0.15</v>
      </c>
      <c r="F351" s="2975">
        <v>0.13</v>
      </c>
      <c r="G351" s="2976">
        <v>0.15</v>
      </c>
    </row>
    <row r="352" spans="1:7">
      <c r="A352" s="2985" t="s">
        <v>307</v>
      </c>
      <c r="B352" s="2974" t="s">
        <v>2944</v>
      </c>
      <c r="C352" s="2975">
        <v>0.15</v>
      </c>
      <c r="D352" s="2975">
        <v>0.15</v>
      </c>
      <c r="E352" s="2975">
        <v>0.15</v>
      </c>
      <c r="F352" s="2975">
        <v>0.14599999999999999</v>
      </c>
      <c r="G352" s="2976">
        <v>0.15</v>
      </c>
    </row>
    <row r="353" spans="1:7">
      <c r="A353" s="2985" t="s">
        <v>307</v>
      </c>
      <c r="B353" s="2974" t="s">
        <v>2951</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2964</v>
      </c>
      <c r="C355" s="2975">
        <v>0.15</v>
      </c>
      <c r="D355" s="2975">
        <v>0.15</v>
      </c>
      <c r="E355" s="2975">
        <v>0.15</v>
      </c>
      <c r="F355" s="2975">
        <v>0.15</v>
      </c>
      <c r="G355" s="2976">
        <v>0.15</v>
      </c>
    </row>
    <row r="356" spans="1:7">
      <c r="A356" s="2985" t="s">
        <v>307</v>
      </c>
      <c r="B356" s="2974" t="s">
        <v>2971</v>
      </c>
      <c r="C356" s="2975">
        <v>0.15</v>
      </c>
      <c r="D356" s="2975">
        <v>0.15</v>
      </c>
      <c r="E356" s="2975">
        <v>0.15</v>
      </c>
      <c r="F356" s="2975">
        <v>0.15</v>
      </c>
      <c r="G356" s="2976">
        <v>0.15</v>
      </c>
    </row>
    <row r="357" spans="1:7" ht="15" thickBot="1">
      <c r="A357" s="2988" t="s">
        <v>307</v>
      </c>
      <c r="B357" s="2978" t="s">
        <v>2976</v>
      </c>
      <c r="C357" s="2979">
        <v>0.126</v>
      </c>
      <c r="D357" s="2979">
        <v>0.127</v>
      </c>
      <c r="E357" s="2979">
        <v>0.14299999999999999</v>
      </c>
      <c r="F357" s="2979">
        <v>0.125</v>
      </c>
      <c r="G357" s="2981">
        <v>0.129</v>
      </c>
    </row>
    <row r="358" spans="1:7">
      <c r="A358" s="2984" t="s">
        <v>2845</v>
      </c>
      <c r="B358" s="2970" t="s">
        <v>2859</v>
      </c>
      <c r="C358" s="2971">
        <v>0.15</v>
      </c>
      <c r="D358" s="2971">
        <v>0.15</v>
      </c>
      <c r="E358" s="2971">
        <v>0.15</v>
      </c>
      <c r="F358" s="2971">
        <v>0.15</v>
      </c>
      <c r="G358" s="2972">
        <v>0.15</v>
      </c>
    </row>
    <row r="359" spans="1:7">
      <c r="A359" s="2985" t="s">
        <v>2845</v>
      </c>
      <c r="B359" s="2974" t="s">
        <v>2865</v>
      </c>
      <c r="C359" s="2975">
        <v>0.1</v>
      </c>
      <c r="D359" s="2975">
        <v>0.1</v>
      </c>
      <c r="E359" s="2975">
        <v>0.1</v>
      </c>
      <c r="F359" s="2975">
        <v>0.1</v>
      </c>
      <c r="G359" s="2976">
        <v>0.1</v>
      </c>
    </row>
    <row r="360" spans="1:7">
      <c r="A360" s="2985" t="s">
        <v>2845</v>
      </c>
      <c r="B360" s="2974" t="s">
        <v>2871</v>
      </c>
      <c r="C360" s="2975">
        <v>0.15</v>
      </c>
      <c r="D360" s="2975">
        <v>0.15</v>
      </c>
      <c r="E360" s="2975">
        <v>0.15</v>
      </c>
      <c r="F360" s="2975">
        <v>0.14899999999999999</v>
      </c>
      <c r="G360" s="2976">
        <v>0.15</v>
      </c>
    </row>
    <row r="361" spans="1:7">
      <c r="A361" s="2985" t="s">
        <v>2845</v>
      </c>
      <c r="B361" s="2974" t="s">
        <v>153</v>
      </c>
      <c r="C361" s="2975">
        <v>0.15</v>
      </c>
      <c r="D361" s="2975">
        <v>0.15</v>
      </c>
      <c r="E361" s="2975">
        <v>0.15</v>
      </c>
      <c r="F361" s="2975">
        <v>0.115</v>
      </c>
      <c r="G361" s="2976">
        <v>0.15</v>
      </c>
    </row>
    <row r="362" spans="1:7">
      <c r="A362" s="2985" t="s">
        <v>2845</v>
      </c>
      <c r="B362" s="2974" t="s">
        <v>2878</v>
      </c>
      <c r="C362" s="2975">
        <v>0.15</v>
      </c>
      <c r="D362" s="2975">
        <v>0.15</v>
      </c>
      <c r="E362" s="2975">
        <v>0.15</v>
      </c>
      <c r="F362" s="2975">
        <v>0.106</v>
      </c>
      <c r="G362" s="2976">
        <v>0.15</v>
      </c>
    </row>
    <row r="363" spans="1:7">
      <c r="A363" s="2985" t="s">
        <v>2845</v>
      </c>
      <c r="B363" s="2974" t="s">
        <v>2883</v>
      </c>
      <c r="C363" s="2975">
        <v>0.15</v>
      </c>
      <c r="D363" s="2975">
        <v>0.15</v>
      </c>
      <c r="E363" s="2975">
        <v>0.15</v>
      </c>
      <c r="F363" s="2975">
        <v>0.14699999999999999</v>
      </c>
      <c r="G363" s="2976">
        <v>0.15</v>
      </c>
    </row>
    <row r="364" spans="1:7">
      <c r="A364" s="2985" t="s">
        <v>2845</v>
      </c>
      <c r="B364" s="2974" t="s">
        <v>2887</v>
      </c>
      <c r="C364" s="2975">
        <v>0.15</v>
      </c>
      <c r="D364" s="2975">
        <v>0.15</v>
      </c>
      <c r="E364" s="2975">
        <v>0.15</v>
      </c>
      <c r="F364" s="2975">
        <v>0.14799999999999999</v>
      </c>
      <c r="G364" s="2976">
        <v>0.15</v>
      </c>
    </row>
    <row r="365" spans="1:7">
      <c r="A365" s="2985" t="s">
        <v>2845</v>
      </c>
      <c r="B365" s="2974" t="s">
        <v>200</v>
      </c>
      <c r="C365" s="2975">
        <v>0.15</v>
      </c>
      <c r="D365" s="2975">
        <v>0.15</v>
      </c>
      <c r="E365" s="2975">
        <v>0.15</v>
      </c>
      <c r="F365" s="2975">
        <v>0.15</v>
      </c>
      <c r="G365" s="2976">
        <v>0.15</v>
      </c>
    </row>
    <row r="366" spans="1:7">
      <c r="A366" s="2985" t="s">
        <v>2845</v>
      </c>
      <c r="B366" s="2974" t="s">
        <v>2890</v>
      </c>
      <c r="C366" s="2975">
        <v>0.15</v>
      </c>
      <c r="D366" s="2975">
        <v>0.15</v>
      </c>
      <c r="E366" s="2975">
        <v>0.15</v>
      </c>
      <c r="F366" s="2975">
        <v>0.15</v>
      </c>
      <c r="G366" s="2976">
        <v>0.15</v>
      </c>
    </row>
    <row r="367" spans="1:7">
      <c r="A367" s="2985" t="s">
        <v>2845</v>
      </c>
      <c r="B367" s="2974" t="s">
        <v>2893</v>
      </c>
      <c r="C367" s="2975">
        <v>0.15</v>
      </c>
      <c r="D367" s="2975">
        <v>0.15</v>
      </c>
      <c r="E367" s="2975">
        <v>0.15</v>
      </c>
      <c r="F367" s="2975">
        <v>0.14699999999999999</v>
      </c>
      <c r="G367" s="2976">
        <v>0.15</v>
      </c>
    </row>
    <row r="368" spans="1:7">
      <c r="A368" s="2985" t="s">
        <v>2845</v>
      </c>
      <c r="B368" s="2974" t="s">
        <v>2898</v>
      </c>
      <c r="C368" s="2975">
        <v>0.15</v>
      </c>
      <c r="D368" s="2975">
        <v>0.15</v>
      </c>
      <c r="E368" s="2975">
        <v>0.15</v>
      </c>
      <c r="F368" s="2975">
        <v>0.13600000000000001</v>
      </c>
      <c r="G368" s="2976">
        <v>0.15</v>
      </c>
    </row>
    <row r="369" spans="1:7">
      <c r="A369" s="2985" t="s">
        <v>2845</v>
      </c>
      <c r="B369" s="2974" t="s">
        <v>214</v>
      </c>
      <c r="C369" s="2975">
        <v>0.15</v>
      </c>
      <c r="D369" s="2975">
        <v>0.15</v>
      </c>
      <c r="E369" s="2975">
        <v>0.15</v>
      </c>
      <c r="F369" s="2975">
        <v>0.14399999999999999</v>
      </c>
      <c r="G369" s="2976">
        <v>0.15</v>
      </c>
    </row>
    <row r="370" spans="1:7">
      <c r="A370" s="2985" t="s">
        <v>2845</v>
      </c>
      <c r="B370" s="2974" t="s">
        <v>221</v>
      </c>
      <c r="C370" s="2975">
        <v>0.15</v>
      </c>
      <c r="D370" s="2975">
        <v>0.15</v>
      </c>
      <c r="E370" s="2975">
        <v>0.15</v>
      </c>
      <c r="F370" s="2975">
        <v>0.14599999999999999</v>
      </c>
      <c r="G370" s="2976">
        <v>0.15</v>
      </c>
    </row>
    <row r="371" spans="1:7">
      <c r="A371" s="2985" t="s">
        <v>2845</v>
      </c>
      <c r="B371" s="2974" t="s">
        <v>229</v>
      </c>
      <c r="C371" s="2975">
        <v>0.15</v>
      </c>
      <c r="D371" s="2975">
        <v>0.15</v>
      </c>
      <c r="E371" s="2975">
        <v>0.15</v>
      </c>
      <c r="F371" s="2975">
        <v>0.12</v>
      </c>
      <c r="G371" s="2976">
        <v>0.15</v>
      </c>
    </row>
    <row r="372" spans="1:7">
      <c r="A372" s="2985" t="s">
        <v>2845</v>
      </c>
      <c r="B372" s="2974" t="s">
        <v>2906</v>
      </c>
      <c r="C372" s="2975">
        <v>0.15</v>
      </c>
      <c r="D372" s="2975">
        <v>0.15</v>
      </c>
      <c r="E372" s="2975">
        <v>0.15</v>
      </c>
      <c r="F372" s="2975">
        <v>0.14299999999999999</v>
      </c>
      <c r="G372" s="2976">
        <v>0.15</v>
      </c>
    </row>
    <row r="373" spans="1:7">
      <c r="A373" s="2985" t="s">
        <v>2845</v>
      </c>
      <c r="B373" s="2974" t="s">
        <v>258</v>
      </c>
      <c r="C373" s="2975">
        <v>0.15</v>
      </c>
      <c r="D373" s="2975">
        <v>0.15</v>
      </c>
      <c r="E373" s="2975">
        <v>0.15</v>
      </c>
      <c r="F373" s="2975">
        <v>0.14599999999999999</v>
      </c>
      <c r="G373" s="2976">
        <v>0.15</v>
      </c>
    </row>
    <row r="374" spans="1:7">
      <c r="A374" s="2985" t="s">
        <v>2845</v>
      </c>
      <c r="B374" s="2974" t="s">
        <v>266</v>
      </c>
      <c r="C374" s="2975">
        <v>0.15</v>
      </c>
      <c r="D374" s="2975">
        <v>0.15</v>
      </c>
      <c r="E374" s="2975">
        <v>0.15</v>
      </c>
      <c r="F374" s="2975">
        <v>0.14399999999999999</v>
      </c>
      <c r="G374" s="2976">
        <v>0.15</v>
      </c>
    </row>
    <row r="375" spans="1:7">
      <c r="A375" s="2985" t="s">
        <v>2845</v>
      </c>
      <c r="B375" s="2974" t="s">
        <v>2914</v>
      </c>
      <c r="C375" s="2975">
        <v>0.15</v>
      </c>
      <c r="D375" s="2975">
        <v>0.15</v>
      </c>
      <c r="E375" s="2975">
        <v>0.15</v>
      </c>
      <c r="F375" s="2975">
        <v>0.13</v>
      </c>
      <c r="G375" s="2976">
        <v>0.15</v>
      </c>
    </row>
    <row r="376" spans="1:7">
      <c r="A376" s="2985" t="s">
        <v>2845</v>
      </c>
      <c r="B376" s="2974" t="s">
        <v>277</v>
      </c>
      <c r="C376" s="2975">
        <v>0.15</v>
      </c>
      <c r="D376" s="2975">
        <v>0.15</v>
      </c>
      <c r="E376" s="2975">
        <v>0.15</v>
      </c>
      <c r="F376" s="2975">
        <v>0.14199999999999999</v>
      </c>
      <c r="G376" s="2976">
        <v>0.15</v>
      </c>
    </row>
    <row r="377" spans="1:7" ht="15" thickBot="1">
      <c r="A377" s="2988" t="s">
        <v>2845</v>
      </c>
      <c r="B377" s="2978" t="s">
        <v>2920</v>
      </c>
      <c r="C377" s="2979">
        <v>0.15</v>
      </c>
      <c r="D377" s="2979">
        <v>0.15</v>
      </c>
      <c r="E377" s="2979">
        <v>0.15</v>
      </c>
      <c r="F377" s="2979">
        <v>0.14000000000000001</v>
      </c>
      <c r="G377" s="2981">
        <v>0.15</v>
      </c>
    </row>
    <row r="378" spans="1:7">
      <c r="A378" s="2984" t="s">
        <v>2846</v>
      </c>
      <c r="B378" s="2970" t="s">
        <v>2860</v>
      </c>
      <c r="C378" s="2971">
        <v>0.15</v>
      </c>
      <c r="D378" s="2971">
        <v>0.15</v>
      </c>
      <c r="E378" s="2971">
        <v>0.15</v>
      </c>
      <c r="F378" s="2971">
        <v>0.107</v>
      </c>
      <c r="G378" s="2972">
        <v>0.15</v>
      </c>
    </row>
    <row r="379" spans="1:7">
      <c r="A379" s="2985" t="s">
        <v>2846</v>
      </c>
      <c r="B379" s="2974" t="s">
        <v>2866</v>
      </c>
      <c r="C379" s="2975">
        <v>0.15</v>
      </c>
      <c r="D379" s="2975">
        <v>0.15</v>
      </c>
      <c r="E379" s="2975">
        <v>0.15</v>
      </c>
      <c r="F379" s="2975">
        <v>0.115</v>
      </c>
      <c r="G379" s="2976">
        <v>0.14899999999999999</v>
      </c>
    </row>
    <row r="380" spans="1:7">
      <c r="A380" s="2985" t="s">
        <v>2846</v>
      </c>
      <c r="B380" s="2974" t="s">
        <v>2872</v>
      </c>
      <c r="C380" s="2975">
        <v>0.15</v>
      </c>
      <c r="D380" s="2975">
        <v>0.15</v>
      </c>
      <c r="E380" s="2975">
        <v>0.15</v>
      </c>
      <c r="F380" s="2975">
        <v>0.1</v>
      </c>
      <c r="G380" s="2976">
        <v>0.14799999999999999</v>
      </c>
    </row>
    <row r="381" spans="1:7">
      <c r="A381" s="2985" t="s">
        <v>2846</v>
      </c>
      <c r="B381" s="2974" t="s">
        <v>2875</v>
      </c>
      <c r="C381" s="2975">
        <v>0.15</v>
      </c>
      <c r="D381" s="2975">
        <v>0.15</v>
      </c>
      <c r="E381" s="2975">
        <v>0.15</v>
      </c>
      <c r="F381" s="2975">
        <v>0.126</v>
      </c>
      <c r="G381" s="2976">
        <v>0.15</v>
      </c>
    </row>
    <row r="382" spans="1:7">
      <c r="A382" s="2985" t="s">
        <v>2846</v>
      </c>
      <c r="B382" s="2974" t="s">
        <v>2879</v>
      </c>
      <c r="C382" s="2975">
        <v>0.15</v>
      </c>
      <c r="D382" s="2975">
        <v>0.15</v>
      </c>
      <c r="E382" s="2975">
        <v>0.15</v>
      </c>
      <c r="F382" s="2975">
        <v>0.15</v>
      </c>
      <c r="G382" s="2976">
        <v>0.15</v>
      </c>
    </row>
    <row r="383" spans="1:7">
      <c r="A383" s="2985" t="s">
        <v>2846</v>
      </c>
      <c r="B383" s="2974" t="s">
        <v>2884</v>
      </c>
      <c r="C383" s="2975">
        <v>0.15</v>
      </c>
      <c r="D383" s="2975">
        <v>0.15</v>
      </c>
      <c r="E383" s="2975">
        <v>0.15</v>
      </c>
      <c r="F383" s="2975">
        <v>0.14699999999999999</v>
      </c>
      <c r="G383" s="2976">
        <v>0.15</v>
      </c>
    </row>
    <row r="384" spans="1:7" ht="15" thickBot="1">
      <c r="A384" s="2995" t="s">
        <v>2846</v>
      </c>
      <c r="B384" s="2996" t="s">
        <v>2888</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496" t="s">
        <v>3227</v>
      </c>
      <c r="B1" s="3496"/>
      <c r="C1" s="3496"/>
      <c r="D1" s="3496"/>
      <c r="E1" s="3496"/>
      <c r="F1" s="3497"/>
    </row>
    <row r="2" spans="1:6">
      <c r="A2" s="2999" t="s">
        <v>3228</v>
      </c>
    </row>
    <row r="3" spans="1:6">
      <c r="A3" s="2999" t="s">
        <v>3229</v>
      </c>
      <c r="F3" s="3000" t="s">
        <v>3230</v>
      </c>
    </row>
    <row r="4" spans="1:6">
      <c r="A4" s="3001" t="s">
        <v>672</v>
      </c>
      <c r="B4" s="3001" t="s">
        <v>673</v>
      </c>
      <c r="C4" s="3001" t="s">
        <v>21</v>
      </c>
      <c r="D4" s="3001" t="s">
        <v>674</v>
      </c>
      <c r="E4" s="3001" t="s">
        <v>3</v>
      </c>
      <c r="F4" s="3001" t="s">
        <v>3231</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45775</v>
      </c>
      <c r="B1" s="2926" t="s">
        <v>3373</v>
      </c>
      <c r="C1" s="2927"/>
      <c r="D1" s="2927"/>
      <c r="E1" s="2927"/>
      <c r="F1" s="2927"/>
      <c r="G1" s="2927"/>
      <c r="H1" s="2927"/>
      <c r="I1" s="2927"/>
      <c r="J1" s="2893"/>
      <c r="K1" s="2927" t="s">
        <v>454</v>
      </c>
      <c r="L1" s="2927"/>
      <c r="M1" s="2927"/>
      <c r="N1" s="2927"/>
      <c r="O1" s="2927"/>
      <c r="P1" s="2927"/>
      <c r="Q1" s="2893"/>
      <c r="R1" s="3498" t="s">
        <v>456</v>
      </c>
      <c r="S1" s="3499"/>
      <c r="T1" s="3499"/>
      <c r="U1" s="3499"/>
      <c r="V1" s="3499"/>
      <c r="W1" s="3499"/>
      <c r="X1" s="2893"/>
      <c r="Y1" s="3498" t="s">
        <v>457</v>
      </c>
      <c r="Z1" s="3499"/>
      <c r="AA1" s="3499"/>
      <c r="AB1" s="3499"/>
      <c r="AC1" s="3499"/>
      <c r="AD1" s="3499"/>
    </row>
    <row r="2" spans="1:44" s="2009" customFormat="1" ht="15" thickBot="1">
      <c r="B2" s="2878"/>
      <c r="C2" s="2879"/>
      <c r="D2" s="2010" t="s">
        <v>2805</v>
      </c>
      <c r="E2" s="2011" t="s">
        <v>2806</v>
      </c>
      <c r="F2" s="2011" t="s">
        <v>2807</v>
      </c>
      <c r="G2" s="2011" t="s">
        <v>2808</v>
      </c>
      <c r="H2" s="2011" t="s">
        <v>2809</v>
      </c>
      <c r="I2" s="2011" t="s">
        <v>2626</v>
      </c>
      <c r="J2" s="2880"/>
      <c r="K2" s="2010" t="s">
        <v>2805</v>
      </c>
      <c r="L2" s="2011" t="s">
        <v>2806</v>
      </c>
      <c r="M2" s="2011" t="s">
        <v>2807</v>
      </c>
      <c r="N2" s="2011" t="s">
        <v>2808</v>
      </c>
      <c r="O2" s="2011" t="s">
        <v>2810</v>
      </c>
      <c r="P2" s="2011" t="s">
        <v>2626</v>
      </c>
      <c r="Q2" s="2880"/>
      <c r="R2" s="2010" t="s">
        <v>2805</v>
      </c>
      <c r="S2" s="2011" t="s">
        <v>2806</v>
      </c>
      <c r="T2" s="2011" t="s">
        <v>2807</v>
      </c>
      <c r="U2" s="2011" t="s">
        <v>2811</v>
      </c>
      <c r="V2" s="2011" t="s">
        <v>2812</v>
      </c>
      <c r="W2" s="2011" t="s">
        <v>2626</v>
      </c>
      <c r="X2" s="2880"/>
      <c r="Y2" s="2010" t="s">
        <v>2805</v>
      </c>
      <c r="Z2" s="2011" t="s">
        <v>2806</v>
      </c>
      <c r="AA2" s="2011" t="s">
        <v>2807</v>
      </c>
      <c r="AB2" s="2011" t="s">
        <v>2813</v>
      </c>
      <c r="AC2" s="2011" t="s">
        <v>2812</v>
      </c>
      <c r="AD2" s="2011" t="s">
        <v>2626</v>
      </c>
      <c r="AF2" t="s">
        <v>3400</v>
      </c>
      <c r="AG2" t="s">
        <v>673</v>
      </c>
      <c r="AH2" t="s">
        <v>21</v>
      </c>
      <c r="AI2" t="s">
        <v>3401</v>
      </c>
      <c r="AJ2" t="s">
        <v>3</v>
      </c>
      <c r="AK2" t="s">
        <v>3402</v>
      </c>
      <c r="AM2" t="s">
        <v>3400</v>
      </c>
      <c r="AN2" t="s">
        <v>673</v>
      </c>
      <c r="AO2" t="s">
        <v>21</v>
      </c>
      <c r="AP2" t="s">
        <v>3401</v>
      </c>
      <c r="AQ2" t="s">
        <v>3</v>
      </c>
      <c r="AR2" t="s">
        <v>3402</v>
      </c>
    </row>
    <row r="3" spans="1:44" s="2883" customFormat="1" ht="13.2">
      <c r="A3" s="2881" t="s">
        <v>2814</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3399</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3398</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3397</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3404</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2" t="s">
        <v>3371</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2" t="s">
        <v>3370</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2" t="s">
        <v>3366</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2" t="s">
        <v>3365</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2" t="s">
        <v>3363</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2" t="s">
        <v>3362</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2" t="s">
        <v>3361</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2" t="s">
        <v>3359</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2" t="s">
        <v>3350</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2" t="s">
        <v>2815</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2" t="s">
        <v>2816</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2" t="s">
        <v>2817</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2" t="s">
        <v>2818</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2819</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3376</v>
      </c>
    </row>
    <row r="27" spans="1:44">
      <c r="I27" s="1405" t="s">
        <v>2820</v>
      </c>
    </row>
    <row r="29" spans="1:44" s="2008" customFormat="1" ht="13.2">
      <c r="B29" s="2926" t="s">
        <v>3374</v>
      </c>
      <c r="C29" s="2927"/>
      <c r="D29" s="2927"/>
      <c r="E29" s="2927"/>
      <c r="F29" s="2927"/>
      <c r="G29" s="2927"/>
      <c r="H29" s="2927"/>
      <c r="I29" s="2927"/>
      <c r="J29" s="2893"/>
      <c r="K29" s="2927" t="s">
        <v>2821</v>
      </c>
      <c r="L29" s="2927"/>
      <c r="M29" s="2927"/>
      <c r="N29" s="2927"/>
      <c r="O29" s="2927"/>
      <c r="P29" s="2927"/>
      <c r="Q29" s="2893"/>
      <c r="R29" s="3498" t="s">
        <v>2822</v>
      </c>
      <c r="S29" s="3499"/>
      <c r="T29" s="3499"/>
      <c r="U29" s="3499"/>
      <c r="V29" s="3499"/>
      <c r="W29" s="3499"/>
      <c r="X29" s="2893"/>
      <c r="Y29" s="3498" t="s">
        <v>2823</v>
      </c>
      <c r="Z29" s="3499"/>
      <c r="AA29" s="3499"/>
      <c r="AB29" s="3499"/>
      <c r="AC29" s="3499"/>
      <c r="AD29" s="3499"/>
    </row>
    <row r="30" spans="1:44" s="2009" customFormat="1" ht="15" thickBot="1">
      <c r="B30" s="2878"/>
      <c r="C30" s="2879"/>
      <c r="D30" s="2010" t="s">
        <v>2824</v>
      </c>
      <c r="E30" s="2011" t="s">
        <v>2825</v>
      </c>
      <c r="F30" s="2011" t="s">
        <v>2826</v>
      </c>
      <c r="G30" s="2011" t="s">
        <v>2827</v>
      </c>
      <c r="H30" s="2011"/>
      <c r="I30" s="2011" t="s">
        <v>2828</v>
      </c>
      <c r="J30" s="2880"/>
      <c r="K30" s="2010" t="s">
        <v>2824</v>
      </c>
      <c r="L30" s="2011" t="s">
        <v>2825</v>
      </c>
      <c r="M30" s="2011" t="s">
        <v>2826</v>
      </c>
      <c r="N30" s="2011" t="s">
        <v>2827</v>
      </c>
      <c r="O30" s="2011"/>
      <c r="P30" s="2011" t="s">
        <v>2828</v>
      </c>
      <c r="Q30" s="2880"/>
      <c r="R30" s="2010" t="s">
        <v>2824</v>
      </c>
      <c r="S30" s="2011" t="s">
        <v>2825</v>
      </c>
      <c r="T30" s="2011" t="s">
        <v>2826</v>
      </c>
      <c r="U30" s="2011" t="s">
        <v>2827</v>
      </c>
      <c r="V30" s="2011"/>
      <c r="W30" s="2011" t="s">
        <v>2828</v>
      </c>
      <c r="X30" s="2880"/>
      <c r="Y30" s="2010" t="s">
        <v>2824</v>
      </c>
      <c r="Z30" s="2011" t="s">
        <v>2825</v>
      </c>
      <c r="AA30" s="2011" t="s">
        <v>2826</v>
      </c>
      <c r="AB30" s="2011" t="s">
        <v>2827</v>
      </c>
      <c r="AC30" s="2011"/>
      <c r="AD30" s="2011" t="s">
        <v>2828</v>
      </c>
      <c r="AG30" t="s">
        <v>673</v>
      </c>
      <c r="AH30" t="s">
        <v>21</v>
      </c>
      <c r="AI30" t="s">
        <v>3401</v>
      </c>
      <c r="AJ30"/>
      <c r="AK30" t="s">
        <v>3402</v>
      </c>
      <c r="AN30" t="s">
        <v>673</v>
      </c>
      <c r="AO30" t="s">
        <v>21</v>
      </c>
      <c r="AP30" t="s">
        <v>3401</v>
      </c>
      <c r="AQ30"/>
      <c r="AR30" t="s">
        <v>3402</v>
      </c>
    </row>
    <row r="31" spans="1:44" s="2883" customFormat="1" ht="13.2">
      <c r="A31" s="2881" t="s">
        <v>2829</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3399</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3398</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3406</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3404</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3368</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2" t="s">
        <v>3372</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2" t="s">
        <v>3369</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2" t="s">
        <v>3367</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2" t="s">
        <v>3365</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2" t="s">
        <v>3364</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2" t="s">
        <v>3362</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2" t="s">
        <v>3361</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2" t="s">
        <v>3360</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2" t="s">
        <v>3350</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2" t="s">
        <v>2830</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2" t="s">
        <v>2831</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2" t="s">
        <v>2832</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2" t="s">
        <v>2833</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2819</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2109</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2110</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2125</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2123</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2122</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2121</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2119</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2118</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2120</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2116</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2115</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2108</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2106</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2107</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1" t="s">
        <v>2834</v>
      </c>
      <c r="B1" s="3511"/>
      <c r="C1" s="3511"/>
      <c r="D1" s="3511"/>
      <c r="E1" s="3511"/>
      <c r="F1" s="3511"/>
      <c r="G1" s="3512"/>
      <c r="I1" s="2935" t="s">
        <v>2835</v>
      </c>
      <c r="J1" s="2936" t="s">
        <v>2836</v>
      </c>
      <c r="K1" s="2936" t="s">
        <v>2837</v>
      </c>
      <c r="L1" s="2936" t="s">
        <v>2838</v>
      </c>
      <c r="M1" s="2936" t="s">
        <v>2839</v>
      </c>
      <c r="N1" s="2936" t="s">
        <v>2840</v>
      </c>
      <c r="O1" s="2936" t="s">
        <v>2841</v>
      </c>
      <c r="P1" s="2936" t="s">
        <v>2842</v>
      </c>
      <c r="Q1" s="2936" t="s">
        <v>2843</v>
      </c>
      <c r="R1" s="2936" t="s">
        <v>2844</v>
      </c>
      <c r="S1" s="2936" t="s">
        <v>2845</v>
      </c>
      <c r="T1" s="2937" t="s">
        <v>2846</v>
      </c>
    </row>
    <row r="2" spans="1:20" ht="11.4" thickBot="1">
      <c r="A2" s="2938" t="s">
        <v>2847</v>
      </c>
      <c r="B2" s="2938"/>
      <c r="C2" s="2938"/>
      <c r="D2" s="2938"/>
      <c r="E2" s="2938"/>
      <c r="F2" s="2938"/>
      <c r="G2" s="2939" t="s">
        <v>2848</v>
      </c>
      <c r="I2" s="2940" t="s">
        <v>2849</v>
      </c>
      <c r="J2" s="2940" t="s">
        <v>2850</v>
      </c>
      <c r="K2" s="2940" t="s">
        <v>2851</v>
      </c>
      <c r="L2" s="2940" t="s">
        <v>2852</v>
      </c>
      <c r="M2" s="2940" t="s">
        <v>2853</v>
      </c>
      <c r="N2" s="2940" t="s">
        <v>2854</v>
      </c>
      <c r="O2" s="2940" t="s">
        <v>2855</v>
      </c>
      <c r="P2" s="2940" t="s">
        <v>2856</v>
      </c>
      <c r="Q2" s="2940" t="s">
        <v>2857</v>
      </c>
      <c r="R2" s="2940" t="s">
        <v>2858</v>
      </c>
      <c r="S2" s="2940" t="s">
        <v>2859</v>
      </c>
      <c r="T2" s="2940" t="s">
        <v>2860</v>
      </c>
    </row>
    <row r="3" spans="1:20" s="2946" customFormat="1">
      <c r="A3" s="3509" t="s">
        <v>2861</v>
      </c>
      <c r="B3" s="2941"/>
      <c r="C3" s="2942" t="s">
        <v>2806</v>
      </c>
      <c r="D3" s="2942" t="s">
        <v>2862</v>
      </c>
      <c r="E3" s="2942" t="s">
        <v>2808</v>
      </c>
      <c r="F3" s="2942" t="s">
        <v>2863</v>
      </c>
      <c r="G3" s="2942" t="s">
        <v>2626</v>
      </c>
      <c r="H3" s="2943"/>
      <c r="I3" s="2944" t="s">
        <v>2864</v>
      </c>
      <c r="J3" s="2945" t="s">
        <v>128</v>
      </c>
      <c r="K3" s="2945" t="s">
        <v>129</v>
      </c>
      <c r="L3" s="2944" t="s">
        <v>130</v>
      </c>
      <c r="M3" s="2944" t="s">
        <v>131</v>
      </c>
      <c r="N3" s="2944" t="s">
        <v>132</v>
      </c>
      <c r="O3" s="2944" t="s">
        <v>133</v>
      </c>
      <c r="P3" s="2944" t="s">
        <v>134</v>
      </c>
      <c r="Q3" s="2944" t="s">
        <v>135</v>
      </c>
      <c r="R3" s="2944" t="s">
        <v>136</v>
      </c>
      <c r="S3" s="2944" t="s">
        <v>2865</v>
      </c>
      <c r="T3" s="2944" t="s">
        <v>2866</v>
      </c>
    </row>
    <row r="4" spans="1:20" s="2946" customFormat="1" ht="11.4" thickBot="1">
      <c r="A4" s="3510"/>
      <c r="B4" s="2947" t="s">
        <v>2867</v>
      </c>
      <c r="C4" s="2947" t="s">
        <v>2868</v>
      </c>
      <c r="D4" s="2947" t="s">
        <v>2868</v>
      </c>
      <c r="E4" s="2947" t="s">
        <v>2868</v>
      </c>
      <c r="F4" s="2948" t="s">
        <v>2868</v>
      </c>
      <c r="G4" s="2948" t="s">
        <v>2868</v>
      </c>
      <c r="H4" s="2943"/>
      <c r="I4" s="2945" t="s">
        <v>137</v>
      </c>
      <c r="J4" s="2945" t="s">
        <v>111</v>
      </c>
      <c r="K4" s="2945" t="s">
        <v>138</v>
      </c>
      <c r="L4" s="2944" t="s">
        <v>139</v>
      </c>
      <c r="M4" s="2944" t="s">
        <v>140</v>
      </c>
      <c r="N4" s="2944" t="s">
        <v>141</v>
      </c>
      <c r="O4" s="2944" t="s">
        <v>142</v>
      </c>
      <c r="P4" s="2944" t="s">
        <v>143</v>
      </c>
      <c r="Q4" s="2944" t="s">
        <v>2869</v>
      </c>
      <c r="R4" s="2944" t="s">
        <v>2870</v>
      </c>
      <c r="S4" s="2944" t="s">
        <v>2871</v>
      </c>
      <c r="T4" s="2944" t="s">
        <v>2872</v>
      </c>
    </row>
    <row r="5" spans="1:20">
      <c r="A5" s="2949" t="s">
        <v>2835</v>
      </c>
      <c r="B5" s="2940" t="s">
        <v>2849</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2873</v>
      </c>
      <c r="R5" s="2944" t="s">
        <v>2874</v>
      </c>
      <c r="S5" s="2944" t="s">
        <v>153</v>
      </c>
      <c r="T5" s="2944" t="s">
        <v>2875</v>
      </c>
    </row>
    <row r="6" spans="1:20" ht="11.4" thickBot="1">
      <c r="A6" s="2944" t="s">
        <v>144</v>
      </c>
      <c r="B6" s="2944" t="s">
        <v>2864</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2876</v>
      </c>
      <c r="Q6" s="2944" t="s">
        <v>2877</v>
      </c>
      <c r="R6" s="2944" t="s">
        <v>161</v>
      </c>
      <c r="S6" s="2944" t="s">
        <v>2878</v>
      </c>
      <c r="T6" s="2944" t="s">
        <v>2879</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2880</v>
      </c>
      <c r="Q7" s="2944" t="s">
        <v>2881</v>
      </c>
      <c r="R7" s="2944" t="s">
        <v>2882</v>
      </c>
      <c r="S7" s="2944" t="s">
        <v>2883</v>
      </c>
      <c r="T7" s="2944" t="s">
        <v>2884</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2885</v>
      </c>
      <c r="Q8" s="2944" t="s">
        <v>174</v>
      </c>
      <c r="R8" s="2944" t="s">
        <v>2886</v>
      </c>
      <c r="S8" s="2944" t="s">
        <v>2887</v>
      </c>
      <c r="T8" s="2951" t="s">
        <v>2888</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2889</v>
      </c>
      <c r="Q9" s="2944" t="s">
        <v>182</v>
      </c>
      <c r="R9" s="2944" t="s">
        <v>183</v>
      </c>
      <c r="S9" s="2944" t="s">
        <v>200</v>
      </c>
    </row>
    <row r="10" spans="1:20">
      <c r="A10" s="2949" t="s">
        <v>184</v>
      </c>
      <c r="B10" s="2940" t="s">
        <v>2850</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2890</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2891</v>
      </c>
      <c r="P11" s="2944" t="s">
        <v>191</v>
      </c>
      <c r="Q11" s="2944" t="s">
        <v>199</v>
      </c>
      <c r="R11" s="2944" t="s">
        <v>2892</v>
      </c>
      <c r="S11" s="2944" t="s">
        <v>2893</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2894</v>
      </c>
      <c r="P12" s="2944" t="s">
        <v>2895</v>
      </c>
      <c r="Q12" s="2944" t="s">
        <v>2896</v>
      </c>
      <c r="R12" s="2944" t="s">
        <v>2897</v>
      </c>
      <c r="S12" s="2944" t="s">
        <v>2898</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2899</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2900</v>
      </c>
      <c r="K14" s="2945" t="s">
        <v>215</v>
      </c>
      <c r="L14" s="2944" t="s">
        <v>216</v>
      </c>
      <c r="M14" s="2944" t="s">
        <v>217</v>
      </c>
      <c r="N14" s="2944" t="s">
        <v>218</v>
      </c>
      <c r="O14" s="2944" t="s">
        <v>240</v>
      </c>
      <c r="P14" s="2944" t="s">
        <v>213</v>
      </c>
      <c r="Q14" s="2944" t="s">
        <v>2901</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2902</v>
      </c>
      <c r="P15" s="2944" t="s">
        <v>2903</v>
      </c>
      <c r="Q15" s="2944" t="s">
        <v>242</v>
      </c>
      <c r="R15" s="2944" t="s">
        <v>2904</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2905</v>
      </c>
      <c r="P16" s="2944" t="s">
        <v>227</v>
      </c>
      <c r="Q16" s="2944" t="s">
        <v>250</v>
      </c>
      <c r="R16" s="2944" t="s">
        <v>207</v>
      </c>
      <c r="S16" s="2944" t="s">
        <v>2906</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2907</v>
      </c>
      <c r="P17" s="2944" t="s">
        <v>2908</v>
      </c>
      <c r="Q17" s="2944" t="s">
        <v>256</v>
      </c>
      <c r="R17" s="2944" t="s">
        <v>2909</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2910</v>
      </c>
      <c r="P18" s="2944" t="s">
        <v>241</v>
      </c>
      <c r="Q18" s="2944" t="s">
        <v>2911</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2912</v>
      </c>
      <c r="P19" s="2944" t="s">
        <v>249</v>
      </c>
      <c r="Q19" s="2944" t="s">
        <v>2913</v>
      </c>
      <c r="R19" s="2944" t="s">
        <v>265</v>
      </c>
      <c r="S19" s="2944" t="s">
        <v>2914</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2915</v>
      </c>
      <c r="P20" s="2944" t="s">
        <v>2916</v>
      </c>
      <c r="Q20" s="2944" t="s">
        <v>290</v>
      </c>
      <c r="R20" s="2944" t="s">
        <v>2917</v>
      </c>
      <c r="S20" s="2944" t="s">
        <v>277</v>
      </c>
    </row>
    <row r="21" spans="1:19" ht="14.25" customHeight="1" thickBot="1">
      <c r="A21" s="2944" t="s">
        <v>184</v>
      </c>
      <c r="B21" s="2945" t="s">
        <v>208</v>
      </c>
      <c r="C21" s="2944">
        <v>32370</v>
      </c>
      <c r="D21" s="2944">
        <v>26730</v>
      </c>
      <c r="E21" s="2944">
        <v>26640</v>
      </c>
      <c r="F21" s="2944"/>
      <c r="G21" s="2944">
        <v>19440</v>
      </c>
      <c r="J21" s="2951" t="s">
        <v>2918</v>
      </c>
      <c r="K21" s="2945" t="s">
        <v>267</v>
      </c>
      <c r="L21" s="2944" t="s">
        <v>268</v>
      </c>
      <c r="M21" s="2944" t="s">
        <v>269</v>
      </c>
      <c r="N21" s="2944" t="s">
        <v>270</v>
      </c>
      <c r="O21" s="2944" t="s">
        <v>264</v>
      </c>
      <c r="P21" s="2944" t="s">
        <v>283</v>
      </c>
      <c r="Q21" s="2944" t="s">
        <v>293</v>
      </c>
      <c r="R21" s="2944" t="s">
        <v>2919</v>
      </c>
      <c r="S21" s="2951" t="s">
        <v>2920</v>
      </c>
    </row>
    <row r="22" spans="1:19" ht="14.25" customHeight="1">
      <c r="A22" s="2944" t="s">
        <v>184</v>
      </c>
      <c r="B22" s="2945" t="s">
        <v>2900</v>
      </c>
      <c r="C22" s="2944">
        <v>29830</v>
      </c>
      <c r="D22" s="2944">
        <v>27600</v>
      </c>
      <c r="E22" s="2944">
        <v>28150</v>
      </c>
      <c r="F22" s="2944"/>
      <c r="G22" s="2944">
        <v>20080</v>
      </c>
      <c r="K22" s="2945" t="s">
        <v>2921</v>
      </c>
      <c r="L22" s="2944" t="s">
        <v>272</v>
      </c>
      <c r="M22" s="2944" t="s">
        <v>273</v>
      </c>
      <c r="N22" s="2944" t="s">
        <v>274</v>
      </c>
      <c r="O22" s="2944" t="s">
        <v>2922</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2923</v>
      </c>
      <c r="L23" s="2944" t="s">
        <v>278</v>
      </c>
      <c r="M23" s="2944" t="s">
        <v>279</v>
      </c>
      <c r="N23" s="2944" t="s">
        <v>2924</v>
      </c>
      <c r="O23" s="2944" t="s">
        <v>2925</v>
      </c>
      <c r="P23" s="2944" t="s">
        <v>289</v>
      </c>
      <c r="Q23" s="2944" t="s">
        <v>298</v>
      </c>
      <c r="R23" s="2944" t="s">
        <v>2926</v>
      </c>
    </row>
    <row r="24" spans="1:19" ht="14.25" customHeight="1">
      <c r="A24" s="2944" t="s">
        <v>184</v>
      </c>
      <c r="B24" s="2945" t="s">
        <v>230</v>
      </c>
      <c r="C24" s="2944">
        <v>27930</v>
      </c>
      <c r="D24" s="2944">
        <v>32260</v>
      </c>
      <c r="E24" s="2944">
        <v>32120</v>
      </c>
      <c r="F24" s="2944"/>
      <c r="G24" s="2944">
        <v>23470</v>
      </c>
      <c r="K24" s="2945" t="s">
        <v>2927</v>
      </c>
      <c r="L24" s="2944" t="s">
        <v>281</v>
      </c>
      <c r="M24" s="2944" t="s">
        <v>282</v>
      </c>
      <c r="N24" s="2944" t="s">
        <v>2928</v>
      </c>
      <c r="O24" s="2944" t="s">
        <v>285</v>
      </c>
      <c r="P24" s="2944" t="s">
        <v>2929</v>
      </c>
      <c r="Q24" s="2953" t="s">
        <v>2930</v>
      </c>
      <c r="R24" s="2944" t="s">
        <v>2931</v>
      </c>
    </row>
    <row r="25" spans="1:19" ht="14.25" customHeight="1">
      <c r="A25" s="2944" t="s">
        <v>184</v>
      </c>
      <c r="B25" s="2945" t="s">
        <v>235</v>
      </c>
      <c r="C25" s="2944">
        <v>32230</v>
      </c>
      <c r="D25" s="2944">
        <v>29640</v>
      </c>
      <c r="E25" s="2944">
        <v>29510</v>
      </c>
      <c r="F25" s="2944"/>
      <c r="G25" s="2944">
        <v>21560</v>
      </c>
      <c r="K25" s="2945" t="s">
        <v>2932</v>
      </c>
      <c r="L25" s="2944" t="s">
        <v>2933</v>
      </c>
      <c r="M25" s="2944" t="s">
        <v>284</v>
      </c>
      <c r="N25" s="2944" t="s">
        <v>292</v>
      </c>
      <c r="O25" s="2944" t="s">
        <v>288</v>
      </c>
      <c r="P25" s="2944" t="s">
        <v>275</v>
      </c>
      <c r="Q25" s="2953" t="s">
        <v>271</v>
      </c>
      <c r="R25" s="2944" t="s">
        <v>2934</v>
      </c>
    </row>
    <row r="26" spans="1:19" ht="14.25" customHeight="1" thickBot="1">
      <c r="A26" s="2944" t="s">
        <v>184</v>
      </c>
      <c r="B26" s="2945" t="s">
        <v>244</v>
      </c>
      <c r="C26" s="2944">
        <v>31690</v>
      </c>
      <c r="D26" s="2944">
        <v>27650</v>
      </c>
      <c r="E26" s="2944">
        <v>28200</v>
      </c>
      <c r="F26" s="2944"/>
      <c r="G26" s="2944">
        <v>20110</v>
      </c>
      <c r="K26" s="2950" t="s">
        <v>2935</v>
      </c>
      <c r="L26" s="2944" t="s">
        <v>2936</v>
      </c>
      <c r="M26" s="2944" t="s">
        <v>287</v>
      </c>
      <c r="N26" s="2944" t="s">
        <v>294</v>
      </c>
      <c r="O26" s="2944" t="s">
        <v>2937</v>
      </c>
      <c r="P26" s="2944" t="s">
        <v>2938</v>
      </c>
      <c r="Q26" s="2953" t="s">
        <v>276</v>
      </c>
      <c r="R26" s="2944" t="s">
        <v>2939</v>
      </c>
    </row>
    <row r="27" spans="1:19" ht="14.25" customHeight="1">
      <c r="A27" s="2944" t="s">
        <v>184</v>
      </c>
      <c r="B27" s="2945" t="s">
        <v>251</v>
      </c>
      <c r="C27" s="2944">
        <v>29610</v>
      </c>
      <c r="D27" s="2944">
        <v>27770</v>
      </c>
      <c r="E27" s="2944">
        <v>28300</v>
      </c>
      <c r="F27" s="2944"/>
      <c r="G27" s="2944">
        <v>20210</v>
      </c>
      <c r="L27" s="2944" t="s">
        <v>2940</v>
      </c>
      <c r="M27" s="2944" t="s">
        <v>291</v>
      </c>
      <c r="N27" s="2944" t="s">
        <v>297</v>
      </c>
      <c r="O27" s="2944" t="s">
        <v>2941</v>
      </c>
      <c r="P27" s="2944" t="s">
        <v>2942</v>
      </c>
      <c r="Q27" s="2944" t="s">
        <v>2943</v>
      </c>
      <c r="R27" s="2944" t="s">
        <v>2944</v>
      </c>
    </row>
    <row r="28" spans="1:19" ht="14.25" customHeight="1">
      <c r="A28" s="2944" t="s">
        <v>184</v>
      </c>
      <c r="B28" s="2945" t="s">
        <v>259</v>
      </c>
      <c r="C28" s="2944"/>
      <c r="D28" s="2944">
        <v>31520</v>
      </c>
      <c r="E28" s="2944">
        <v>31410</v>
      </c>
      <c r="F28" s="2944"/>
      <c r="G28" s="2944">
        <v>22940</v>
      </c>
      <c r="L28" s="2944" t="s">
        <v>2945</v>
      </c>
      <c r="M28" s="2944" t="s">
        <v>2946</v>
      </c>
      <c r="N28" s="2944" t="s">
        <v>2947</v>
      </c>
      <c r="O28" s="2944" t="s">
        <v>2948</v>
      </c>
      <c r="P28" s="2944" t="s">
        <v>2949</v>
      </c>
      <c r="Q28" s="2944" t="s">
        <v>2950</v>
      </c>
      <c r="R28" s="2944" t="s">
        <v>2951</v>
      </c>
    </row>
    <row r="29" spans="1:19" ht="14.25" customHeight="1" thickBot="1">
      <c r="A29" s="2952" t="s">
        <v>184</v>
      </c>
      <c r="B29" s="2954" t="s">
        <v>2918</v>
      </c>
      <c r="C29" s="2955"/>
      <c r="D29" s="2955">
        <v>29460</v>
      </c>
      <c r="E29" s="2955">
        <v>28640</v>
      </c>
      <c r="F29" s="2955"/>
      <c r="G29" s="2955">
        <v>21430</v>
      </c>
      <c r="L29" s="2944" t="s">
        <v>2952</v>
      </c>
      <c r="M29" s="2944" t="s">
        <v>2953</v>
      </c>
      <c r="N29" s="2944" t="s">
        <v>2954</v>
      </c>
      <c r="O29" s="2944" t="s">
        <v>2955</v>
      </c>
      <c r="P29" s="2944" t="s">
        <v>2956</v>
      </c>
      <c r="Q29" s="2944" t="s">
        <v>2957</v>
      </c>
      <c r="R29" s="2944" t="s">
        <v>280</v>
      </c>
    </row>
    <row r="30" spans="1:19" ht="14.25" customHeight="1">
      <c r="A30" s="2949" t="s">
        <v>296</v>
      </c>
      <c r="B30" s="2940" t="s">
        <v>2851</v>
      </c>
      <c r="C30" s="2940">
        <v>26890</v>
      </c>
      <c r="D30" s="2940">
        <v>26770</v>
      </c>
      <c r="E30" s="2940">
        <v>25700</v>
      </c>
      <c r="F30" s="2940">
        <v>8180</v>
      </c>
      <c r="G30" s="2956">
        <v>18740</v>
      </c>
      <c r="L30" s="2944" t="s">
        <v>2958</v>
      </c>
      <c r="M30" s="2944" t="s">
        <v>2959</v>
      </c>
      <c r="N30" s="2944" t="s">
        <v>2960</v>
      </c>
      <c r="O30" s="2944" t="s">
        <v>2961</v>
      </c>
      <c r="P30" s="2944" t="s">
        <v>2962</v>
      </c>
      <c r="Q30" s="2944" t="s">
        <v>2963</v>
      </c>
      <c r="R30" s="2944" t="s">
        <v>2964</v>
      </c>
    </row>
    <row r="31" spans="1:19" ht="14.25" customHeight="1">
      <c r="A31" s="2944" t="s">
        <v>296</v>
      </c>
      <c r="B31" s="2945" t="s">
        <v>129</v>
      </c>
      <c r="C31" s="2944">
        <v>24550</v>
      </c>
      <c r="D31" s="2944">
        <v>23990</v>
      </c>
      <c r="E31" s="2944">
        <v>22930</v>
      </c>
      <c r="F31" s="2944">
        <v>7470</v>
      </c>
      <c r="G31" s="2957">
        <v>16790</v>
      </c>
      <c r="L31" s="2944" t="s">
        <v>2965</v>
      </c>
      <c r="M31" s="2944" t="s">
        <v>2966</v>
      </c>
      <c r="N31" s="2944" t="s">
        <v>2967</v>
      </c>
      <c r="O31" s="2944" t="s">
        <v>2968</v>
      </c>
      <c r="P31" s="2944" t="s">
        <v>2969</v>
      </c>
      <c r="Q31" s="2944" t="s">
        <v>2970</v>
      </c>
      <c r="R31" s="2944" t="s">
        <v>2971</v>
      </c>
    </row>
    <row r="32" spans="1:19" ht="14.25" customHeight="1" thickBot="1">
      <c r="A32" s="2944" t="s">
        <v>296</v>
      </c>
      <c r="B32" s="2945" t="s">
        <v>138</v>
      </c>
      <c r="C32" s="2944">
        <v>27210</v>
      </c>
      <c r="D32" s="2944">
        <v>23240</v>
      </c>
      <c r="E32" s="2944">
        <v>23260</v>
      </c>
      <c r="F32" s="2944">
        <v>7130</v>
      </c>
      <c r="G32" s="2957">
        <v>16270</v>
      </c>
      <c r="L32" s="2944" t="s">
        <v>2972</v>
      </c>
      <c r="M32" s="2944" t="s">
        <v>2973</v>
      </c>
      <c r="N32" s="2944" t="s">
        <v>300</v>
      </c>
      <c r="O32" s="2944" t="s">
        <v>2974</v>
      </c>
      <c r="P32" s="2944" t="s">
        <v>299</v>
      </c>
      <c r="Q32" s="2944" t="s">
        <v>2975</v>
      </c>
      <c r="R32" s="2951" t="s">
        <v>2976</v>
      </c>
    </row>
    <row r="33" spans="1:17" ht="14.25" customHeight="1" thickBot="1">
      <c r="A33" s="2944" t="s">
        <v>296</v>
      </c>
      <c r="B33" s="2945" t="s">
        <v>147</v>
      </c>
      <c r="C33" s="2944">
        <v>27300</v>
      </c>
      <c r="D33" s="2944">
        <v>22980</v>
      </c>
      <c r="E33" s="2944">
        <v>24260</v>
      </c>
      <c r="F33" s="2944">
        <v>5860</v>
      </c>
      <c r="G33" s="2957">
        <v>16090</v>
      </c>
      <c r="L33" s="2951" t="s">
        <v>2977</v>
      </c>
      <c r="M33" s="2944" t="s">
        <v>2978</v>
      </c>
      <c r="N33" s="2944" t="s">
        <v>301</v>
      </c>
      <c r="O33" s="2944" t="s">
        <v>2979</v>
      </c>
      <c r="P33" s="2944" t="s">
        <v>2980</v>
      </c>
      <c r="Q33" s="2944" t="s">
        <v>2981</v>
      </c>
    </row>
    <row r="34" spans="1:17" ht="14.25" customHeight="1">
      <c r="A34" s="2944" t="s">
        <v>296</v>
      </c>
      <c r="B34" s="2945" t="s">
        <v>156</v>
      </c>
      <c r="C34" s="2944">
        <v>23090</v>
      </c>
      <c r="D34" s="2944">
        <v>23390</v>
      </c>
      <c r="E34" s="2944">
        <v>23510</v>
      </c>
      <c r="F34" s="2944">
        <v>6700</v>
      </c>
      <c r="G34" s="2957">
        <v>16370</v>
      </c>
      <c r="M34" s="2944" t="s">
        <v>2982</v>
      </c>
      <c r="N34" s="2944" t="s">
        <v>302</v>
      </c>
      <c r="O34" s="2944" t="s">
        <v>2983</v>
      </c>
      <c r="P34" s="2944" t="s">
        <v>2984</v>
      </c>
      <c r="Q34" s="2944" t="s">
        <v>2985</v>
      </c>
    </row>
    <row r="35" spans="1:17" ht="14.25" customHeight="1">
      <c r="A35" s="2944" t="s">
        <v>296</v>
      </c>
      <c r="B35" s="2945" t="s">
        <v>163</v>
      </c>
      <c r="C35" s="2944">
        <v>27270</v>
      </c>
      <c r="D35" s="2944">
        <v>24270</v>
      </c>
      <c r="E35" s="2944">
        <v>24950</v>
      </c>
      <c r="F35" s="2944">
        <v>6600</v>
      </c>
      <c r="G35" s="2957">
        <v>16990</v>
      </c>
      <c r="M35" s="2944" t="s">
        <v>2986</v>
      </c>
      <c r="N35" s="2944" t="s">
        <v>2987</v>
      </c>
      <c r="O35" s="2944" t="s">
        <v>2988</v>
      </c>
      <c r="P35" s="2944" t="s">
        <v>2989</v>
      </c>
      <c r="Q35" s="2944" t="s">
        <v>2990</v>
      </c>
    </row>
    <row r="36" spans="1:17" ht="14.25" customHeight="1">
      <c r="A36" s="2944" t="s">
        <v>296</v>
      </c>
      <c r="B36" s="2945" t="s">
        <v>169</v>
      </c>
      <c r="C36" s="2944">
        <v>23490</v>
      </c>
      <c r="D36" s="2944">
        <v>23020</v>
      </c>
      <c r="E36" s="2944">
        <v>25230</v>
      </c>
      <c r="F36" s="2944">
        <v>6780</v>
      </c>
      <c r="G36" s="2957">
        <v>16120</v>
      </c>
      <c r="M36" s="2944" t="s">
        <v>2991</v>
      </c>
      <c r="N36" s="2944" t="s">
        <v>2992</v>
      </c>
      <c r="O36" s="2944" t="s">
        <v>2993</v>
      </c>
      <c r="P36" s="2944" t="s">
        <v>2994</v>
      </c>
      <c r="Q36" s="2944" t="s">
        <v>2995</v>
      </c>
    </row>
    <row r="37" spans="1:17" ht="14.25" customHeight="1">
      <c r="A37" s="2944" t="s">
        <v>296</v>
      </c>
      <c r="B37" s="2945" t="s">
        <v>176</v>
      </c>
      <c r="C37" s="2944">
        <v>24380</v>
      </c>
      <c r="D37" s="2944">
        <v>22240</v>
      </c>
      <c r="E37" s="2944">
        <v>25980</v>
      </c>
      <c r="F37" s="2944">
        <v>8160</v>
      </c>
      <c r="G37" s="2957">
        <v>15570</v>
      </c>
      <c r="M37" s="2944" t="s">
        <v>2996</v>
      </c>
      <c r="N37" s="2944" t="s">
        <v>2997</v>
      </c>
      <c r="O37" s="2944" t="s">
        <v>2998</v>
      </c>
      <c r="P37" s="2944" t="s">
        <v>2999</v>
      </c>
      <c r="Q37" s="2944" t="s">
        <v>3000</v>
      </c>
    </row>
    <row r="38" spans="1:17" ht="14.25" customHeight="1">
      <c r="A38" s="2944" t="s">
        <v>296</v>
      </c>
      <c r="B38" s="2945" t="s">
        <v>186</v>
      </c>
      <c r="C38" s="2944">
        <v>23120</v>
      </c>
      <c r="D38" s="2944">
        <v>24630</v>
      </c>
      <c r="E38" s="2944">
        <v>25030</v>
      </c>
      <c r="F38" s="2944">
        <v>7710</v>
      </c>
      <c r="G38" s="2957">
        <v>17240</v>
      </c>
      <c r="M38" s="2944" t="s">
        <v>3001</v>
      </c>
      <c r="N38" s="2944" t="s">
        <v>3002</v>
      </c>
      <c r="O38" s="2944" t="s">
        <v>3003</v>
      </c>
      <c r="P38" s="2944" t="s">
        <v>3004</v>
      </c>
      <c r="Q38" s="2944" t="s">
        <v>3005</v>
      </c>
    </row>
    <row r="39" spans="1:17" ht="14.25" customHeight="1">
      <c r="A39" s="2944" t="s">
        <v>296</v>
      </c>
      <c r="B39" s="2945" t="s">
        <v>195</v>
      </c>
      <c r="C39" s="2944">
        <v>22330</v>
      </c>
      <c r="D39" s="2944">
        <v>21140</v>
      </c>
      <c r="E39" s="2944">
        <v>23970</v>
      </c>
      <c r="F39" s="2944">
        <v>7940</v>
      </c>
      <c r="G39" s="2957">
        <v>14790</v>
      </c>
      <c r="M39" s="2944" t="s">
        <v>3006</v>
      </c>
      <c r="N39" s="2944" t="s">
        <v>3007</v>
      </c>
      <c r="O39" s="2944" t="s">
        <v>3008</v>
      </c>
      <c r="P39" s="2944" t="s">
        <v>3009</v>
      </c>
      <c r="Q39" s="2944" t="s">
        <v>3010</v>
      </c>
    </row>
    <row r="40" spans="1:17" ht="14.25" customHeight="1">
      <c r="A40" s="2944" t="s">
        <v>296</v>
      </c>
      <c r="B40" s="2945" t="s">
        <v>202</v>
      </c>
      <c r="C40" s="2944">
        <v>24740</v>
      </c>
      <c r="D40" s="2944">
        <v>24690</v>
      </c>
      <c r="E40" s="2944">
        <v>22610</v>
      </c>
      <c r="F40" s="2944"/>
      <c r="G40" s="2957">
        <v>17280</v>
      </c>
      <c r="M40" s="2944" t="s">
        <v>3011</v>
      </c>
      <c r="N40" s="2944" t="s">
        <v>3012</v>
      </c>
      <c r="O40" s="2944" t="s">
        <v>3013</v>
      </c>
      <c r="P40" s="2944" t="s">
        <v>3014</v>
      </c>
      <c r="Q40" s="2944" t="s">
        <v>3015</v>
      </c>
    </row>
    <row r="41" spans="1:17" ht="14.25" customHeight="1" thickBot="1">
      <c r="A41" s="2944" t="s">
        <v>296</v>
      </c>
      <c r="B41" s="2945" t="s">
        <v>209</v>
      </c>
      <c r="C41" s="2944">
        <v>21220</v>
      </c>
      <c r="D41" s="2944">
        <v>21120</v>
      </c>
      <c r="E41" s="2944">
        <v>22590</v>
      </c>
      <c r="F41" s="2944"/>
      <c r="G41" s="2957">
        <v>14780</v>
      </c>
      <c r="M41" s="2951" t="s">
        <v>3016</v>
      </c>
      <c r="N41" s="2944" t="s">
        <v>3017</v>
      </c>
      <c r="O41" s="2944" t="s">
        <v>3018</v>
      </c>
      <c r="P41" s="2944" t="s">
        <v>3019</v>
      </c>
      <c r="Q41" s="2944" t="s">
        <v>3020</v>
      </c>
    </row>
    <row r="42" spans="1:17" ht="14.25" customHeight="1">
      <c r="A42" s="2944" t="s">
        <v>296</v>
      </c>
      <c r="B42" s="2945" t="s">
        <v>215</v>
      </c>
      <c r="C42" s="2944">
        <v>24800</v>
      </c>
      <c r="D42" s="2944">
        <v>22280</v>
      </c>
      <c r="E42" s="2944">
        <v>24350</v>
      </c>
      <c r="F42" s="2944"/>
      <c r="G42" s="2957">
        <v>15590</v>
      </c>
      <c r="N42" s="2944" t="s">
        <v>3021</v>
      </c>
      <c r="O42" s="2944" t="s">
        <v>3022</v>
      </c>
      <c r="P42" s="2944" t="s">
        <v>3023</v>
      </c>
      <c r="Q42" s="2944" t="s">
        <v>3024</v>
      </c>
    </row>
    <row r="43" spans="1:17" ht="14.25" customHeight="1">
      <c r="A43" s="2944" t="s">
        <v>3025</v>
      </c>
      <c r="B43" s="2945" t="s">
        <v>223</v>
      </c>
      <c r="C43" s="2944">
        <v>21210</v>
      </c>
      <c r="D43" s="2944">
        <v>21160</v>
      </c>
      <c r="E43" s="2944">
        <v>22650</v>
      </c>
      <c r="F43" s="2944"/>
      <c r="G43" s="2957">
        <v>14800</v>
      </c>
      <c r="N43" s="2944" t="s">
        <v>3026</v>
      </c>
      <c r="O43" s="2944" t="s">
        <v>3027</v>
      </c>
      <c r="P43" s="2944" t="s">
        <v>3028</v>
      </c>
      <c r="Q43" s="2944" t="s">
        <v>3029</v>
      </c>
    </row>
    <row r="44" spans="1:17" ht="14.25" customHeight="1" thickBot="1">
      <c r="A44" s="2944" t="s">
        <v>296</v>
      </c>
      <c r="B44" s="2945" t="s">
        <v>231</v>
      </c>
      <c r="C44" s="2944">
        <v>22370</v>
      </c>
      <c r="D44" s="2944">
        <v>23140</v>
      </c>
      <c r="E44" s="2944">
        <v>25090</v>
      </c>
      <c r="F44" s="2944"/>
      <c r="G44" s="2957">
        <v>16190</v>
      </c>
      <c r="N44" s="2944" t="s">
        <v>3030</v>
      </c>
      <c r="O44" s="2944" t="s">
        <v>3031</v>
      </c>
      <c r="P44" s="2951" t="s">
        <v>3032</v>
      </c>
      <c r="Q44" s="2944" t="s">
        <v>3033</v>
      </c>
    </row>
    <row r="45" spans="1:17" ht="14.25" customHeight="1" thickBot="1">
      <c r="A45" s="2944" t="s">
        <v>296</v>
      </c>
      <c r="B45" s="2945" t="s">
        <v>236</v>
      </c>
      <c r="C45" s="2944">
        <v>21240</v>
      </c>
      <c r="D45" s="2944">
        <v>27050</v>
      </c>
      <c r="E45" s="2944">
        <v>28000</v>
      </c>
      <c r="F45" s="2944"/>
      <c r="G45" s="2957">
        <v>18940</v>
      </c>
      <c r="N45" s="2944" t="s">
        <v>3034</v>
      </c>
      <c r="O45" s="2951" t="s">
        <v>3035</v>
      </c>
      <c r="Q45" s="2944" t="s">
        <v>3036</v>
      </c>
    </row>
    <row r="46" spans="1:17" ht="14.25" customHeight="1">
      <c r="A46" s="2944" t="s">
        <v>296</v>
      </c>
      <c r="B46" s="2945" t="s">
        <v>245</v>
      </c>
      <c r="C46" s="2944">
        <v>23240</v>
      </c>
      <c r="D46" s="2944">
        <v>23000</v>
      </c>
      <c r="E46" s="2944">
        <v>24980</v>
      </c>
      <c r="F46" s="2944"/>
      <c r="G46" s="2957">
        <v>16100</v>
      </c>
      <c r="N46" s="2944" t="s">
        <v>3037</v>
      </c>
      <c r="Q46" s="2944" t="s">
        <v>3038</v>
      </c>
    </row>
    <row r="47" spans="1:17" ht="14.25" customHeight="1">
      <c r="A47" s="2944" t="s">
        <v>296</v>
      </c>
      <c r="B47" s="2945" t="s">
        <v>252</v>
      </c>
      <c r="C47" s="2944">
        <v>27150</v>
      </c>
      <c r="D47" s="2944">
        <v>23310</v>
      </c>
      <c r="E47" s="2944">
        <v>25150</v>
      </c>
      <c r="F47" s="2944"/>
      <c r="G47" s="2957">
        <v>16310</v>
      </c>
      <c r="N47" s="2944" t="s">
        <v>3039</v>
      </c>
      <c r="Q47" s="2944" t="s">
        <v>3040</v>
      </c>
    </row>
    <row r="48" spans="1:17" ht="14.25" customHeight="1">
      <c r="A48" s="2944" t="s">
        <v>296</v>
      </c>
      <c r="B48" s="2945" t="s">
        <v>260</v>
      </c>
      <c r="C48" s="2944">
        <v>23100</v>
      </c>
      <c r="D48" s="2944">
        <v>21110</v>
      </c>
      <c r="E48" s="2944">
        <v>23080</v>
      </c>
      <c r="F48" s="2944"/>
      <c r="G48" s="2957">
        <v>14780</v>
      </c>
      <c r="N48" s="2944" t="s">
        <v>3041</v>
      </c>
      <c r="Q48" s="2944" t="s">
        <v>3042</v>
      </c>
    </row>
    <row r="49" spans="1:17" ht="14.25" customHeight="1">
      <c r="A49" s="2944" t="s">
        <v>296</v>
      </c>
      <c r="B49" s="2945" t="s">
        <v>267</v>
      </c>
      <c r="C49" s="2944">
        <v>23400</v>
      </c>
      <c r="D49" s="2944">
        <v>22920</v>
      </c>
      <c r="E49" s="2944">
        <v>24900</v>
      </c>
      <c r="F49" s="2944"/>
      <c r="G49" s="2957">
        <v>16040</v>
      </c>
      <c r="N49" s="2944" t="s">
        <v>3043</v>
      </c>
      <c r="Q49" s="2944" t="s">
        <v>3044</v>
      </c>
    </row>
    <row r="50" spans="1:17" ht="14.25" customHeight="1">
      <c r="A50" s="2944" t="s">
        <v>296</v>
      </c>
      <c r="B50" s="2945" t="s">
        <v>2921</v>
      </c>
      <c r="C50" s="2944">
        <v>21200</v>
      </c>
      <c r="D50" s="2944">
        <v>26540</v>
      </c>
      <c r="E50" s="2944">
        <v>23200</v>
      </c>
      <c r="F50" s="2944"/>
      <c r="G50" s="2957">
        <v>18580</v>
      </c>
      <c r="N50" s="2944" t="s">
        <v>3045</v>
      </c>
      <c r="Q50" s="2945" t="s">
        <v>3046</v>
      </c>
    </row>
    <row r="51" spans="1:17" ht="14.25" customHeight="1" thickBot="1">
      <c r="A51" s="2944" t="s">
        <v>296</v>
      </c>
      <c r="B51" s="2945" t="s">
        <v>2923</v>
      </c>
      <c r="C51" s="2944">
        <v>23000</v>
      </c>
      <c r="D51" s="2944">
        <v>23460</v>
      </c>
      <c r="E51" s="2944">
        <v>25290</v>
      </c>
      <c r="F51" s="2944"/>
      <c r="G51" s="2957">
        <v>16420</v>
      </c>
      <c r="N51" s="2944" t="s">
        <v>3047</v>
      </c>
      <c r="Q51" s="2951" t="s">
        <v>3048</v>
      </c>
    </row>
    <row r="52" spans="1:17" ht="14.25" customHeight="1">
      <c r="A52" s="2944" t="s">
        <v>296</v>
      </c>
      <c r="B52" s="2945" t="s">
        <v>2927</v>
      </c>
      <c r="C52" s="2944">
        <v>26660</v>
      </c>
      <c r="D52" s="2944">
        <v>22350</v>
      </c>
      <c r="E52" s="2944">
        <v>22920</v>
      </c>
      <c r="F52" s="2944"/>
      <c r="G52" s="2957">
        <v>15640</v>
      </c>
      <c r="N52" s="2944" t="s">
        <v>3049</v>
      </c>
    </row>
    <row r="53" spans="1:17" ht="14.25" customHeight="1">
      <c r="A53" s="2944" t="s">
        <v>296</v>
      </c>
      <c r="B53" s="2945" t="s">
        <v>2932</v>
      </c>
      <c r="C53" s="2944">
        <v>23580</v>
      </c>
      <c r="D53" s="2944"/>
      <c r="E53" s="2944">
        <v>24280</v>
      </c>
      <c r="F53" s="2944"/>
      <c r="G53" s="2957"/>
      <c r="N53" s="2944" t="s">
        <v>3050</v>
      </c>
    </row>
    <row r="54" spans="1:17" ht="14.25" customHeight="1" thickBot="1">
      <c r="A54" s="2958" t="s">
        <v>296</v>
      </c>
      <c r="B54" s="2950" t="s">
        <v>2935</v>
      </c>
      <c r="C54" s="2951">
        <v>22460</v>
      </c>
      <c r="D54" s="2951"/>
      <c r="E54" s="2951"/>
      <c r="F54" s="2951"/>
      <c r="G54" s="2959"/>
      <c r="N54" s="2944" t="s">
        <v>3051</v>
      </c>
    </row>
    <row r="55" spans="1:17" ht="14.25" customHeight="1">
      <c r="A55" s="2949" t="s">
        <v>110</v>
      </c>
      <c r="B55" s="2940" t="s">
        <v>3052</v>
      </c>
      <c r="C55" s="2944">
        <v>21970</v>
      </c>
      <c r="D55" s="2944">
        <v>20370</v>
      </c>
      <c r="E55" s="2944">
        <v>20180</v>
      </c>
      <c r="F55" s="2944">
        <v>5730</v>
      </c>
      <c r="G55" s="2944">
        <v>13820</v>
      </c>
      <c r="N55" s="2944" t="s">
        <v>3053</v>
      </c>
    </row>
    <row r="56" spans="1:17" ht="14.25" customHeight="1">
      <c r="A56" s="2944" t="s">
        <v>110</v>
      </c>
      <c r="B56" s="2944" t="s">
        <v>130</v>
      </c>
      <c r="C56" s="2944">
        <v>20470</v>
      </c>
      <c r="D56" s="2944">
        <v>20700</v>
      </c>
      <c r="E56" s="2944">
        <v>20380</v>
      </c>
      <c r="F56" s="2944">
        <v>4760</v>
      </c>
      <c r="G56" s="2944">
        <v>14050</v>
      </c>
      <c r="N56" s="2944" t="s">
        <v>3054</v>
      </c>
    </row>
    <row r="57" spans="1:17" ht="14.25" customHeight="1">
      <c r="A57" s="2944" t="s">
        <v>110</v>
      </c>
      <c r="B57" s="2944" t="s">
        <v>139</v>
      </c>
      <c r="C57" s="2944">
        <v>20790</v>
      </c>
      <c r="D57" s="2944">
        <v>21370</v>
      </c>
      <c r="E57" s="2944">
        <v>20890</v>
      </c>
      <c r="F57" s="2944">
        <v>4910</v>
      </c>
      <c r="G57" s="2944">
        <v>14510</v>
      </c>
      <c r="N57" s="2944" t="s">
        <v>3055</v>
      </c>
    </row>
    <row r="58" spans="1:17" ht="14.25" customHeight="1">
      <c r="A58" s="2944" t="s">
        <v>110</v>
      </c>
      <c r="B58" s="2944" t="s">
        <v>148</v>
      </c>
      <c r="C58" s="2944">
        <v>21460</v>
      </c>
      <c r="D58" s="2944">
        <v>20920</v>
      </c>
      <c r="E58" s="2944">
        <v>23410</v>
      </c>
      <c r="F58" s="2944">
        <v>5100</v>
      </c>
      <c r="G58" s="2944">
        <v>14200</v>
      </c>
      <c r="N58" s="2944" t="s">
        <v>3056</v>
      </c>
    </row>
    <row r="59" spans="1:17" ht="14.25" customHeight="1">
      <c r="A59" s="2944" t="s">
        <v>110</v>
      </c>
      <c r="B59" s="2944" t="s">
        <v>157</v>
      </c>
      <c r="C59" s="2944">
        <v>21000</v>
      </c>
      <c r="D59" s="2944">
        <v>21550</v>
      </c>
      <c r="E59" s="2944">
        <v>21150</v>
      </c>
      <c r="F59" s="2944">
        <v>5250</v>
      </c>
      <c r="G59" s="2944">
        <v>14630</v>
      </c>
      <c r="N59" s="2944" t="s">
        <v>3057</v>
      </c>
    </row>
    <row r="60" spans="1:17" ht="14.25" customHeight="1">
      <c r="A60" s="2944" t="s">
        <v>110</v>
      </c>
      <c r="B60" s="2944" t="s">
        <v>164</v>
      </c>
      <c r="C60" s="2944">
        <v>21640</v>
      </c>
      <c r="D60" s="2944">
        <v>21260</v>
      </c>
      <c r="E60" s="2944">
        <v>24040</v>
      </c>
      <c r="F60" s="2944">
        <v>4470</v>
      </c>
      <c r="G60" s="2944">
        <v>14430</v>
      </c>
      <c r="N60" s="2944" t="s">
        <v>3058</v>
      </c>
    </row>
    <row r="61" spans="1:17" ht="14.25" customHeight="1">
      <c r="A61" s="2944" t="s">
        <v>110</v>
      </c>
      <c r="B61" s="2944" t="s">
        <v>170</v>
      </c>
      <c r="C61" s="2944">
        <v>21330</v>
      </c>
      <c r="D61" s="2944">
        <v>18640</v>
      </c>
      <c r="E61" s="2944">
        <v>21190</v>
      </c>
      <c r="F61" s="2944">
        <v>4180</v>
      </c>
      <c r="G61" s="2944">
        <v>12650</v>
      </c>
      <c r="N61" s="2944" t="s">
        <v>3059</v>
      </c>
    </row>
    <row r="62" spans="1:17" ht="14.25" customHeight="1">
      <c r="A62" s="2944" t="s">
        <v>110</v>
      </c>
      <c r="B62" s="2944" t="s">
        <v>177</v>
      </c>
      <c r="C62" s="2944">
        <v>18710</v>
      </c>
      <c r="D62" s="2944">
        <v>19400</v>
      </c>
      <c r="E62" s="2944">
        <v>23750</v>
      </c>
      <c r="F62" s="2944">
        <v>4860</v>
      </c>
      <c r="G62" s="2944">
        <v>13170</v>
      </c>
      <c r="N62" s="2944" t="s">
        <v>3060</v>
      </c>
    </row>
    <row r="63" spans="1:17" ht="14.25" customHeight="1">
      <c r="A63" s="2944" t="s">
        <v>110</v>
      </c>
      <c r="B63" s="2944" t="s">
        <v>187</v>
      </c>
      <c r="C63" s="2944">
        <v>19480</v>
      </c>
      <c r="D63" s="2944">
        <v>16830</v>
      </c>
      <c r="E63" s="2944">
        <v>21590</v>
      </c>
      <c r="F63" s="2944">
        <v>4560</v>
      </c>
      <c r="G63" s="2944">
        <v>11420</v>
      </c>
      <c r="N63" s="2944" t="s">
        <v>3061</v>
      </c>
    </row>
    <row r="64" spans="1:17" ht="14.25" customHeight="1" thickBot="1">
      <c r="A64" s="2944" t="s">
        <v>110</v>
      </c>
      <c r="B64" s="2944" t="s">
        <v>196</v>
      </c>
      <c r="C64" s="2944">
        <v>16920</v>
      </c>
      <c r="D64" s="2944">
        <v>19190</v>
      </c>
      <c r="E64" s="2944">
        <v>22200</v>
      </c>
      <c r="F64" s="2944">
        <v>4390</v>
      </c>
      <c r="G64" s="2944">
        <v>13030</v>
      </c>
      <c r="N64" s="2951" t="s">
        <v>3062</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2933</v>
      </c>
      <c r="C78" s="2944">
        <v>19820</v>
      </c>
      <c r="D78" s="2944">
        <v>19780</v>
      </c>
      <c r="E78" s="2944">
        <v>18560</v>
      </c>
      <c r="F78" s="2944"/>
      <c r="G78" s="2944">
        <v>13430</v>
      </c>
    </row>
    <row r="79" spans="1:7" s="2778" customFormat="1" ht="14.25" customHeight="1">
      <c r="A79" s="2944" t="s">
        <v>110</v>
      </c>
      <c r="B79" s="2944" t="s">
        <v>2936</v>
      </c>
      <c r="C79" s="2944">
        <v>21660</v>
      </c>
      <c r="D79" s="2944">
        <v>18000</v>
      </c>
      <c r="E79" s="2944">
        <v>22570</v>
      </c>
      <c r="F79" s="2944"/>
      <c r="G79" s="2944">
        <v>12220</v>
      </c>
    </row>
    <row r="80" spans="1:7" s="2778" customFormat="1" ht="14.25" customHeight="1">
      <c r="A80" s="2944" t="s">
        <v>110</v>
      </c>
      <c r="B80" s="2944" t="s">
        <v>2940</v>
      </c>
      <c r="C80" s="2944">
        <v>19850</v>
      </c>
      <c r="D80" s="2944"/>
      <c r="E80" s="2944">
        <v>21700</v>
      </c>
      <c r="F80" s="2944"/>
      <c r="G80" s="2944"/>
    </row>
    <row r="81" spans="1:7" s="2778" customFormat="1" ht="14.25" customHeight="1">
      <c r="A81" s="2944" t="s">
        <v>110</v>
      </c>
      <c r="B81" s="2944" t="s">
        <v>2945</v>
      </c>
      <c r="C81" s="2944">
        <v>18080</v>
      </c>
      <c r="D81" s="2944"/>
      <c r="E81" s="2944">
        <v>20900</v>
      </c>
      <c r="F81" s="2944"/>
      <c r="G81" s="2944"/>
    </row>
    <row r="82" spans="1:7" s="2778" customFormat="1" ht="14.25" customHeight="1">
      <c r="A82" s="2944" t="s">
        <v>110</v>
      </c>
      <c r="B82" s="2944" t="s">
        <v>2952</v>
      </c>
      <c r="C82" s="2944"/>
      <c r="D82" s="2944"/>
      <c r="E82" s="2944">
        <v>20840</v>
      </c>
      <c r="F82" s="2944"/>
      <c r="G82" s="2944"/>
    </row>
    <row r="83" spans="1:7" s="2778" customFormat="1" ht="14.25" customHeight="1">
      <c r="A83" s="2944" t="s">
        <v>110</v>
      </c>
      <c r="B83" s="2944" t="s">
        <v>3063</v>
      </c>
      <c r="C83" s="2944"/>
      <c r="D83" s="2944"/>
      <c r="E83" s="2944"/>
      <c r="F83" s="2944">
        <v>4770</v>
      </c>
      <c r="G83" s="2944"/>
    </row>
    <row r="84" spans="1:7" s="2778" customFormat="1" ht="14.25" customHeight="1">
      <c r="A84" s="2944" t="s">
        <v>110</v>
      </c>
      <c r="B84" s="2944" t="s">
        <v>3064</v>
      </c>
      <c r="C84" s="2944"/>
      <c r="D84" s="2944"/>
      <c r="E84" s="2944"/>
      <c r="F84" s="2944">
        <v>4600</v>
      </c>
      <c r="G84" s="2944"/>
    </row>
    <row r="85" spans="1:7" s="2778" customFormat="1" ht="14.25" customHeight="1">
      <c r="A85" s="2944" t="s">
        <v>110</v>
      </c>
      <c r="B85" s="2944" t="s">
        <v>3065</v>
      </c>
      <c r="C85" s="2944"/>
      <c r="D85" s="2944"/>
      <c r="E85" s="2944"/>
      <c r="F85" s="2944">
        <v>4680</v>
      </c>
      <c r="G85" s="2944"/>
    </row>
    <row r="86" spans="1:7" s="2778" customFormat="1" ht="14.25" customHeight="1" thickBot="1">
      <c r="A86" s="2952" t="s">
        <v>110</v>
      </c>
      <c r="B86" s="2954" t="s">
        <v>3066</v>
      </c>
      <c r="C86" s="2955">
        <v>16610</v>
      </c>
      <c r="D86" s="2955">
        <v>16540</v>
      </c>
      <c r="E86" s="2955">
        <v>18850</v>
      </c>
      <c r="F86" s="2955"/>
      <c r="G86" s="2955">
        <v>11220</v>
      </c>
    </row>
    <row r="87" spans="1:7" s="2778" customFormat="1" ht="14.25" customHeight="1">
      <c r="A87" s="2949" t="s">
        <v>303</v>
      </c>
      <c r="B87" s="2940" t="s">
        <v>3067</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2946</v>
      </c>
      <c r="C113" s="2944">
        <v>15520</v>
      </c>
      <c r="D113" s="2944">
        <v>15450</v>
      </c>
      <c r="E113" s="2944"/>
      <c r="F113" s="2944"/>
      <c r="G113" s="2957">
        <v>10210</v>
      </c>
    </row>
    <row r="114" spans="1:7" s="2778" customFormat="1" ht="14.25" customHeight="1">
      <c r="A114" s="2944" t="s">
        <v>303</v>
      </c>
      <c r="B114" s="2944" t="s">
        <v>2953</v>
      </c>
      <c r="C114" s="2944">
        <v>13110</v>
      </c>
      <c r="D114" s="2944">
        <v>13050</v>
      </c>
      <c r="E114" s="2944"/>
      <c r="F114" s="2944"/>
      <c r="G114" s="2957">
        <v>8620</v>
      </c>
    </row>
    <row r="115" spans="1:7" s="2778" customFormat="1" ht="14.25" customHeight="1">
      <c r="A115" s="2944" t="s">
        <v>303</v>
      </c>
      <c r="B115" s="2944" t="s">
        <v>2959</v>
      </c>
      <c r="C115" s="2944">
        <v>12460</v>
      </c>
      <c r="D115" s="2944">
        <v>12390</v>
      </c>
      <c r="E115" s="2944"/>
      <c r="F115" s="2944"/>
      <c r="G115" s="2957">
        <v>8190</v>
      </c>
    </row>
    <row r="116" spans="1:7" s="2778" customFormat="1" ht="14.25" customHeight="1">
      <c r="A116" s="2944" t="s">
        <v>303</v>
      </c>
      <c r="B116" s="2944" t="s">
        <v>2966</v>
      </c>
      <c r="C116" s="2944">
        <v>13580</v>
      </c>
      <c r="D116" s="2944">
        <v>13520</v>
      </c>
      <c r="E116" s="2944"/>
      <c r="F116" s="2944"/>
      <c r="G116" s="2957">
        <v>8930</v>
      </c>
    </row>
    <row r="117" spans="1:7" s="2778" customFormat="1" ht="14.25" customHeight="1">
      <c r="A117" s="2944" t="s">
        <v>303</v>
      </c>
      <c r="B117" s="2944" t="s">
        <v>2973</v>
      </c>
      <c r="C117" s="2944">
        <v>17120</v>
      </c>
      <c r="D117" s="2944">
        <v>17040</v>
      </c>
      <c r="E117" s="2944"/>
      <c r="F117" s="2944"/>
      <c r="G117" s="2957">
        <v>11260</v>
      </c>
    </row>
    <row r="118" spans="1:7" s="2778" customFormat="1" ht="14.25" customHeight="1">
      <c r="A118" s="2944" t="s">
        <v>303</v>
      </c>
      <c r="B118" s="2944" t="s">
        <v>2978</v>
      </c>
      <c r="C118" s="2944">
        <v>14860</v>
      </c>
      <c r="D118" s="2944">
        <v>14790</v>
      </c>
      <c r="E118" s="2944"/>
      <c r="F118" s="2944"/>
      <c r="G118" s="2957">
        <v>9780</v>
      </c>
    </row>
    <row r="119" spans="1:7" s="2778" customFormat="1" ht="14.25" customHeight="1">
      <c r="A119" s="2944" t="s">
        <v>303</v>
      </c>
      <c r="B119" s="2944" t="s">
        <v>2982</v>
      </c>
      <c r="C119" s="2944">
        <v>16470</v>
      </c>
      <c r="D119" s="2944">
        <v>16400</v>
      </c>
      <c r="E119" s="2944"/>
      <c r="F119" s="2944"/>
      <c r="G119" s="2957">
        <v>10840</v>
      </c>
    </row>
    <row r="120" spans="1:7" s="2778" customFormat="1" ht="14.25" customHeight="1">
      <c r="A120" s="2944" t="s">
        <v>303</v>
      </c>
      <c r="B120" s="2944" t="s">
        <v>3068</v>
      </c>
      <c r="C120" s="2944"/>
      <c r="D120" s="2944"/>
      <c r="E120" s="2944"/>
      <c r="F120" s="2944">
        <v>4160</v>
      </c>
      <c r="G120" s="2957"/>
    </row>
    <row r="121" spans="1:7" s="2778" customFormat="1" ht="14.25" customHeight="1">
      <c r="A121" s="2944" t="s">
        <v>303</v>
      </c>
      <c r="B121" s="2944" t="s">
        <v>3069</v>
      </c>
      <c r="C121" s="2944"/>
      <c r="D121" s="2944"/>
      <c r="E121" s="2944"/>
      <c r="F121" s="2944">
        <v>3880</v>
      </c>
      <c r="G121" s="2957"/>
    </row>
    <row r="122" spans="1:7" s="2778" customFormat="1" ht="14.25" customHeight="1">
      <c r="A122" s="2944" t="s">
        <v>303</v>
      </c>
      <c r="B122" s="2944" t="s">
        <v>3070</v>
      </c>
      <c r="C122" s="2944">
        <v>13750</v>
      </c>
      <c r="D122" s="2944">
        <v>13680</v>
      </c>
      <c r="E122" s="2944">
        <v>16460</v>
      </c>
      <c r="F122" s="2944">
        <v>2880</v>
      </c>
      <c r="G122" s="2957">
        <v>9040</v>
      </c>
    </row>
    <row r="123" spans="1:7" s="2778" customFormat="1" ht="14.25" customHeight="1">
      <c r="A123" s="2944" t="s">
        <v>303</v>
      </c>
      <c r="B123" s="2944" t="s">
        <v>3001</v>
      </c>
      <c r="C123" s="2944">
        <v>13590</v>
      </c>
      <c r="D123" s="2944">
        <v>13520</v>
      </c>
      <c r="E123" s="2944">
        <v>16290</v>
      </c>
      <c r="F123" s="2944">
        <v>2790</v>
      </c>
      <c r="G123" s="2957">
        <v>8930</v>
      </c>
    </row>
    <row r="124" spans="1:7" s="2778" customFormat="1" ht="14.25" customHeight="1">
      <c r="A124" s="2944" t="s">
        <v>303</v>
      </c>
      <c r="B124" s="2944" t="s">
        <v>3006</v>
      </c>
      <c r="C124" s="2944">
        <v>13400</v>
      </c>
      <c r="D124" s="2944">
        <v>13320</v>
      </c>
      <c r="E124" s="2944">
        <v>16100</v>
      </c>
      <c r="F124" s="2944">
        <v>2320</v>
      </c>
      <c r="G124" s="2957">
        <v>8800</v>
      </c>
    </row>
    <row r="125" spans="1:7" s="2778" customFormat="1" ht="14.25" customHeight="1">
      <c r="A125" s="2944" t="s">
        <v>303</v>
      </c>
      <c r="B125" s="2944" t="s">
        <v>3011</v>
      </c>
      <c r="C125" s="2944">
        <v>12860</v>
      </c>
      <c r="D125" s="2944">
        <v>12790</v>
      </c>
      <c r="E125" s="2944">
        <v>15370</v>
      </c>
      <c r="F125" s="2944">
        <v>2280</v>
      </c>
      <c r="G125" s="2957">
        <v>8450</v>
      </c>
    </row>
    <row r="126" spans="1:7" s="2778" customFormat="1" ht="14.25" customHeight="1" thickBot="1">
      <c r="A126" s="2958" t="s">
        <v>303</v>
      </c>
      <c r="B126" s="2951" t="s">
        <v>3016</v>
      </c>
      <c r="C126" s="2951">
        <v>12960</v>
      </c>
      <c r="D126" s="2951">
        <v>12890</v>
      </c>
      <c r="E126" s="2951">
        <v>15530</v>
      </c>
      <c r="F126" s="2951">
        <v>2910</v>
      </c>
      <c r="G126" s="2959">
        <v>8520</v>
      </c>
    </row>
    <row r="127" spans="1:7" s="2778" customFormat="1" ht="14.25" customHeight="1">
      <c r="A127" s="2949" t="s">
        <v>29</v>
      </c>
      <c r="B127" s="2940" t="s">
        <v>3071</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3072</v>
      </c>
      <c r="C148" s="2944">
        <v>10370</v>
      </c>
      <c r="D148" s="2944">
        <v>10310</v>
      </c>
      <c r="E148" s="2944">
        <v>12970</v>
      </c>
      <c r="F148" s="2944"/>
      <c r="G148" s="2944">
        <v>6630</v>
      </c>
    </row>
    <row r="149" spans="1:7" s="2778" customFormat="1" ht="14.25" customHeight="1">
      <c r="A149" s="2944" t="s">
        <v>29</v>
      </c>
      <c r="B149" s="2944" t="s">
        <v>3073</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2947</v>
      </c>
      <c r="C153" s="2944">
        <v>10880</v>
      </c>
      <c r="D153" s="2944">
        <v>10820</v>
      </c>
      <c r="E153" s="2944">
        <v>13660</v>
      </c>
      <c r="F153" s="2944">
        <v>2260</v>
      </c>
      <c r="G153" s="2944">
        <v>6970</v>
      </c>
    </row>
    <row r="154" spans="1:7" s="2778" customFormat="1" ht="14.25" customHeight="1">
      <c r="A154" s="2944" t="s">
        <v>29</v>
      </c>
      <c r="B154" s="2944" t="s">
        <v>3074</v>
      </c>
      <c r="C154" s="2944">
        <v>11220</v>
      </c>
      <c r="D154" s="2944">
        <v>11160</v>
      </c>
      <c r="E154" s="2944">
        <v>14130</v>
      </c>
      <c r="F154" s="2944">
        <v>2230</v>
      </c>
      <c r="G154" s="2944">
        <v>7180</v>
      </c>
    </row>
    <row r="155" spans="1:7" s="2778" customFormat="1" ht="14.25" customHeight="1">
      <c r="A155" s="2944" t="s">
        <v>29</v>
      </c>
      <c r="B155" s="2944" t="s">
        <v>2960</v>
      </c>
      <c r="C155" s="2944">
        <v>10430</v>
      </c>
      <c r="D155" s="2944">
        <v>10380</v>
      </c>
      <c r="E155" s="2944">
        <v>13140</v>
      </c>
      <c r="F155" s="2944">
        <v>2080</v>
      </c>
      <c r="G155" s="2944">
        <v>6650</v>
      </c>
    </row>
    <row r="156" spans="1:7" s="2778" customFormat="1" ht="14.25" customHeight="1">
      <c r="A156" s="2944" t="s">
        <v>29</v>
      </c>
      <c r="B156" s="2944" t="s">
        <v>3075</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3076</v>
      </c>
      <c r="C160" s="2944">
        <v>11180</v>
      </c>
      <c r="D160" s="2944">
        <v>11140</v>
      </c>
      <c r="E160" s="2944">
        <v>14050</v>
      </c>
      <c r="F160" s="2944">
        <v>2270</v>
      </c>
      <c r="G160" s="2944">
        <v>7170</v>
      </c>
    </row>
    <row r="161" spans="1:7" s="2778" customFormat="1" ht="14.25" customHeight="1">
      <c r="A161" s="2944" t="s">
        <v>29</v>
      </c>
      <c r="B161" s="2944" t="s">
        <v>2992</v>
      </c>
      <c r="C161" s="2944">
        <v>11160</v>
      </c>
      <c r="D161" s="2944">
        <v>11120</v>
      </c>
      <c r="E161" s="2944">
        <v>14020</v>
      </c>
      <c r="F161" s="2944">
        <v>2150</v>
      </c>
      <c r="G161" s="2944">
        <v>7160</v>
      </c>
    </row>
    <row r="162" spans="1:7" s="2778" customFormat="1" ht="14.25" customHeight="1">
      <c r="A162" s="2944" t="s">
        <v>29</v>
      </c>
      <c r="B162" s="2944" t="s">
        <v>2997</v>
      </c>
      <c r="C162" s="2944">
        <v>9620</v>
      </c>
      <c r="D162" s="2944">
        <v>9570</v>
      </c>
      <c r="E162" s="2944">
        <v>12320</v>
      </c>
      <c r="F162" s="2944">
        <v>2010</v>
      </c>
      <c r="G162" s="2944">
        <v>6160</v>
      </c>
    </row>
    <row r="163" spans="1:7" s="2778" customFormat="1" ht="14.25" customHeight="1">
      <c r="A163" s="2944" t="s">
        <v>29</v>
      </c>
      <c r="B163" s="2944" t="s">
        <v>3002</v>
      </c>
      <c r="C163" s="2944">
        <v>9320</v>
      </c>
      <c r="D163" s="2944">
        <v>9270</v>
      </c>
      <c r="E163" s="2944">
        <v>11790</v>
      </c>
      <c r="F163" s="2944">
        <v>1920</v>
      </c>
      <c r="G163" s="2944">
        <v>5960</v>
      </c>
    </row>
    <row r="164" spans="1:7" s="2778" customFormat="1" ht="14.25" customHeight="1">
      <c r="A164" s="2944" t="s">
        <v>29</v>
      </c>
      <c r="B164" s="2944" t="s">
        <v>3007</v>
      </c>
      <c r="C164" s="2944"/>
      <c r="D164" s="2944"/>
      <c r="E164" s="2944"/>
      <c r="F164" s="2944">
        <v>1980</v>
      </c>
      <c r="G164" s="2944"/>
    </row>
    <row r="165" spans="1:7" s="2778" customFormat="1" ht="14.25" customHeight="1">
      <c r="A165" s="2944" t="s">
        <v>29</v>
      </c>
      <c r="B165" s="2944" t="s">
        <v>3077</v>
      </c>
      <c r="C165" s="2944">
        <v>11060</v>
      </c>
      <c r="D165" s="2944">
        <v>11030</v>
      </c>
      <c r="E165" s="2944">
        <v>13850</v>
      </c>
      <c r="F165" s="2944">
        <v>2170</v>
      </c>
      <c r="G165" s="2944">
        <v>7090</v>
      </c>
    </row>
    <row r="166" spans="1:7" s="2778" customFormat="1" ht="14.25" customHeight="1">
      <c r="A166" s="2944" t="s">
        <v>29</v>
      </c>
      <c r="B166" s="2944" t="s">
        <v>3017</v>
      </c>
      <c r="C166" s="2944">
        <v>11050</v>
      </c>
      <c r="D166" s="2944">
        <v>11010</v>
      </c>
      <c r="E166" s="2944">
        <v>13920</v>
      </c>
      <c r="F166" s="2944">
        <v>2140</v>
      </c>
      <c r="G166" s="2944">
        <v>7080</v>
      </c>
    </row>
    <row r="167" spans="1:7" s="2778" customFormat="1" ht="14.25" customHeight="1">
      <c r="A167" s="2944" t="s">
        <v>29</v>
      </c>
      <c r="B167" s="2944" t="s">
        <v>3021</v>
      </c>
      <c r="C167" s="2944">
        <v>10930</v>
      </c>
      <c r="D167" s="2944">
        <v>10890</v>
      </c>
      <c r="E167" s="2944">
        <v>13790</v>
      </c>
      <c r="F167" s="2944">
        <v>2010</v>
      </c>
      <c r="G167" s="2944">
        <v>7000</v>
      </c>
    </row>
    <row r="168" spans="1:7" s="2778" customFormat="1" ht="14.25" customHeight="1">
      <c r="A168" s="2944" t="s">
        <v>29</v>
      </c>
      <c r="B168" s="2944" t="s">
        <v>3026</v>
      </c>
      <c r="C168" s="2944">
        <v>9420</v>
      </c>
      <c r="D168" s="2944">
        <v>9380</v>
      </c>
      <c r="E168" s="2944">
        <v>11970</v>
      </c>
      <c r="F168" s="2944"/>
      <c r="G168" s="2944">
        <v>6040</v>
      </c>
    </row>
    <row r="169" spans="1:7" s="2778" customFormat="1" ht="14.25" customHeight="1">
      <c r="A169" s="2944" t="s">
        <v>29</v>
      </c>
      <c r="B169" s="2944" t="s">
        <v>3078</v>
      </c>
      <c r="C169" s="2944"/>
      <c r="D169" s="2944"/>
      <c r="E169" s="2944"/>
      <c r="F169" s="2944">
        <v>2880</v>
      </c>
      <c r="G169" s="2944"/>
    </row>
    <row r="170" spans="1:7" s="2778" customFormat="1" ht="14.25" customHeight="1">
      <c r="A170" s="2944" t="s">
        <v>29</v>
      </c>
      <c r="B170" s="2944" t="s">
        <v>3034</v>
      </c>
      <c r="C170" s="2944"/>
      <c r="D170" s="2944"/>
      <c r="E170" s="2944"/>
      <c r="F170" s="2944">
        <v>2880</v>
      </c>
      <c r="G170" s="2944"/>
    </row>
    <row r="171" spans="1:7" s="2778" customFormat="1" ht="14.25" customHeight="1">
      <c r="A171" s="2944" t="s">
        <v>29</v>
      </c>
      <c r="B171" s="2944" t="s">
        <v>3037</v>
      </c>
      <c r="C171" s="2944"/>
      <c r="D171" s="2944"/>
      <c r="E171" s="2944"/>
      <c r="F171" s="2944">
        <v>2880</v>
      </c>
      <c r="G171" s="2944"/>
    </row>
    <row r="172" spans="1:7" s="2778" customFormat="1" ht="14.25" customHeight="1">
      <c r="A172" s="2944" t="s">
        <v>29</v>
      </c>
      <c r="B172" s="2944" t="s">
        <v>3039</v>
      </c>
      <c r="C172" s="2944"/>
      <c r="D172" s="2944"/>
      <c r="E172" s="2944"/>
      <c r="F172" s="2944">
        <v>2880</v>
      </c>
      <c r="G172" s="2944"/>
    </row>
    <row r="173" spans="1:7" s="2778" customFormat="1" ht="14.25" customHeight="1">
      <c r="A173" s="2944" t="s">
        <v>29</v>
      </c>
      <c r="B173" s="2944" t="s">
        <v>3041</v>
      </c>
      <c r="C173" s="2944"/>
      <c r="D173" s="2944"/>
      <c r="E173" s="2944"/>
      <c r="F173" s="2944">
        <v>2150</v>
      </c>
      <c r="G173" s="2944"/>
    </row>
    <row r="174" spans="1:7" s="2778" customFormat="1" ht="14.25" customHeight="1">
      <c r="A174" s="2944" t="s">
        <v>29</v>
      </c>
      <c r="B174" s="2944" t="s">
        <v>3043</v>
      </c>
      <c r="C174" s="2944"/>
      <c r="D174" s="2944"/>
      <c r="E174" s="2944"/>
      <c r="F174" s="2944">
        <v>2030</v>
      </c>
      <c r="G174" s="2944"/>
    </row>
    <row r="175" spans="1:7" s="2778" customFormat="1" ht="14.25" customHeight="1">
      <c r="A175" s="2944" t="s">
        <v>29</v>
      </c>
      <c r="B175" s="2944" t="s">
        <v>3045</v>
      </c>
      <c r="C175" s="2944"/>
      <c r="D175" s="2944"/>
      <c r="E175" s="2944"/>
      <c r="F175" s="2944">
        <v>2780</v>
      </c>
      <c r="G175" s="2944"/>
    </row>
    <row r="176" spans="1:7" s="2778" customFormat="1" ht="14.25" customHeight="1">
      <c r="A176" s="2944" t="s">
        <v>29</v>
      </c>
      <c r="B176" s="2944" t="s">
        <v>3047</v>
      </c>
      <c r="C176" s="2944"/>
      <c r="D176" s="2944"/>
      <c r="E176" s="2944"/>
      <c r="F176" s="2944">
        <v>2780</v>
      </c>
      <c r="G176" s="2944"/>
    </row>
    <row r="177" spans="1:7" s="2778" customFormat="1" ht="14.25" customHeight="1">
      <c r="A177" s="2944" t="s">
        <v>29</v>
      </c>
      <c r="B177" s="2944" t="s">
        <v>3079</v>
      </c>
      <c r="C177" s="2944"/>
      <c r="D177" s="2944"/>
      <c r="E177" s="2944"/>
      <c r="F177" s="2944">
        <v>2780</v>
      </c>
      <c r="G177" s="2944"/>
    </row>
    <row r="178" spans="1:7" s="2778" customFormat="1" ht="14.25" customHeight="1">
      <c r="A178" s="2944" t="s">
        <v>29</v>
      </c>
      <c r="B178" s="2944" t="s">
        <v>3080</v>
      </c>
      <c r="C178" s="2944"/>
      <c r="D178" s="2944"/>
      <c r="E178" s="2944"/>
      <c r="F178" s="2944">
        <v>2060</v>
      </c>
      <c r="G178" s="2944"/>
    </row>
    <row r="179" spans="1:7" s="2778" customFormat="1" ht="14.25" customHeight="1">
      <c r="A179" s="2944" t="s">
        <v>29</v>
      </c>
      <c r="B179" s="2944" t="s">
        <v>3081</v>
      </c>
      <c r="C179" s="2944"/>
      <c r="D179" s="2944"/>
      <c r="E179" s="2944"/>
      <c r="F179" s="2944">
        <v>2120</v>
      </c>
      <c r="G179" s="2944"/>
    </row>
    <row r="180" spans="1:7" s="2778" customFormat="1" ht="14.25" customHeight="1">
      <c r="A180" s="2944" t="s">
        <v>29</v>
      </c>
      <c r="B180" s="2944" t="s">
        <v>3053</v>
      </c>
      <c r="C180" s="2944"/>
      <c r="D180" s="2944"/>
      <c r="E180" s="2944"/>
      <c r="F180" s="2944">
        <v>2340</v>
      </c>
      <c r="G180" s="2944"/>
    </row>
    <row r="181" spans="1:7" s="2778" customFormat="1" ht="14.25" customHeight="1">
      <c r="A181" s="2944" t="s">
        <v>29</v>
      </c>
      <c r="B181" s="2944" t="s">
        <v>3054</v>
      </c>
      <c r="C181" s="2944"/>
      <c r="D181" s="2944"/>
      <c r="E181" s="2944"/>
      <c r="F181" s="2944">
        <v>2340</v>
      </c>
      <c r="G181" s="2944"/>
    </row>
    <row r="182" spans="1:7" s="2778" customFormat="1" ht="14.25" customHeight="1">
      <c r="A182" s="2944" t="s">
        <v>29</v>
      </c>
      <c r="B182" s="2944" t="s">
        <v>3055</v>
      </c>
      <c r="C182" s="2944"/>
      <c r="D182" s="2944"/>
      <c r="E182" s="2944"/>
      <c r="F182" s="2944">
        <v>2340</v>
      </c>
      <c r="G182" s="2944"/>
    </row>
    <row r="183" spans="1:7" s="2778" customFormat="1" ht="14.25" customHeight="1">
      <c r="A183" s="2944" t="s">
        <v>29</v>
      </c>
      <c r="B183" s="2944" t="s">
        <v>3056</v>
      </c>
      <c r="C183" s="2944"/>
      <c r="D183" s="2944"/>
      <c r="E183" s="2944"/>
      <c r="F183" s="2944">
        <v>2340</v>
      </c>
      <c r="G183" s="2944"/>
    </row>
    <row r="184" spans="1:7" s="2778" customFormat="1" ht="14.25" customHeight="1">
      <c r="A184" s="2944" t="s">
        <v>29</v>
      </c>
      <c r="B184" s="2944" t="s">
        <v>3057</v>
      </c>
      <c r="C184" s="2944"/>
      <c r="D184" s="2944"/>
      <c r="E184" s="2944"/>
      <c r="F184" s="2944">
        <v>2340</v>
      </c>
      <c r="G184" s="2944"/>
    </row>
    <row r="185" spans="1:7" s="2778" customFormat="1" ht="14.25" customHeight="1">
      <c r="A185" s="2944" t="s">
        <v>29</v>
      </c>
      <c r="B185" s="2944" t="s">
        <v>3058</v>
      </c>
      <c r="C185" s="2944"/>
      <c r="D185" s="2944"/>
      <c r="E185" s="2944"/>
      <c r="F185" s="2944">
        <v>2530</v>
      </c>
      <c r="G185" s="2944"/>
    </row>
    <row r="186" spans="1:7" s="2778" customFormat="1" ht="14.25" customHeight="1">
      <c r="A186" s="2944" t="s">
        <v>29</v>
      </c>
      <c r="B186" s="2944" t="s">
        <v>3059</v>
      </c>
      <c r="C186" s="2944"/>
      <c r="D186" s="2944"/>
      <c r="E186" s="2944"/>
      <c r="F186" s="2944">
        <v>2550</v>
      </c>
      <c r="G186" s="2944"/>
    </row>
    <row r="187" spans="1:7" s="2778" customFormat="1" ht="14.25" customHeight="1">
      <c r="A187" s="2944" t="s">
        <v>29</v>
      </c>
      <c r="B187" s="2944" t="s">
        <v>3060</v>
      </c>
      <c r="C187" s="2944"/>
      <c r="D187" s="2944"/>
      <c r="E187" s="2944"/>
      <c r="F187" s="2944">
        <v>2070</v>
      </c>
      <c r="G187" s="2944"/>
    </row>
    <row r="188" spans="1:7" s="2778" customFormat="1" ht="14.25" customHeight="1">
      <c r="A188" s="2944" t="s">
        <v>29</v>
      </c>
      <c r="B188" s="2944" t="s">
        <v>3061</v>
      </c>
      <c r="C188" s="2944"/>
      <c r="D188" s="2944"/>
      <c r="E188" s="2944"/>
      <c r="F188" s="2944">
        <v>2340</v>
      </c>
      <c r="G188" s="2944"/>
    </row>
    <row r="189" spans="1:7" s="2778" customFormat="1" ht="14.25" customHeight="1" thickBot="1">
      <c r="A189" s="2952" t="s">
        <v>29</v>
      </c>
      <c r="B189" s="2955" t="s">
        <v>3062</v>
      </c>
      <c r="C189" s="2955"/>
      <c r="D189" s="2955"/>
      <c r="E189" s="2955"/>
      <c r="F189" s="2955">
        <v>2050</v>
      </c>
      <c r="G189" s="2955"/>
    </row>
    <row r="190" spans="1:7" s="2778" customFormat="1" ht="14.25" customHeight="1">
      <c r="A190" s="2949" t="s">
        <v>304</v>
      </c>
      <c r="B190" s="2940" t="s">
        <v>3082</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3083</v>
      </c>
      <c r="C199" s="2944">
        <v>8690</v>
      </c>
      <c r="D199" s="2944">
        <v>8630</v>
      </c>
      <c r="E199" s="2944">
        <v>11350</v>
      </c>
      <c r="F199" s="2944">
        <v>1600</v>
      </c>
      <c r="G199" s="2957">
        <v>5450</v>
      </c>
    </row>
    <row r="200" spans="1:7" s="2778" customFormat="1" ht="14.25" customHeight="1">
      <c r="A200" s="2944" t="s">
        <v>304</v>
      </c>
      <c r="B200" s="2944" t="s">
        <v>2894</v>
      </c>
      <c r="C200" s="2944"/>
      <c r="D200" s="2944"/>
      <c r="E200" s="2944"/>
      <c r="F200" s="2944">
        <v>1510</v>
      </c>
      <c r="G200" s="2957"/>
    </row>
    <row r="201" spans="1:7" s="2778" customFormat="1" ht="14.25" customHeight="1">
      <c r="A201" s="2944" t="s">
        <v>304</v>
      </c>
      <c r="B201" s="2944" t="s">
        <v>3084</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3085</v>
      </c>
      <c r="C203" s="2944">
        <v>8130</v>
      </c>
      <c r="D203" s="2944">
        <v>8070</v>
      </c>
      <c r="E203" s="2944">
        <v>10820</v>
      </c>
      <c r="F203" s="2944">
        <v>1690</v>
      </c>
      <c r="G203" s="2957">
        <v>5100</v>
      </c>
    </row>
    <row r="204" spans="1:7" s="2778" customFormat="1" ht="14.25" customHeight="1">
      <c r="A204" s="2944" t="s">
        <v>304</v>
      </c>
      <c r="B204" s="2944" t="s">
        <v>2905</v>
      </c>
      <c r="C204" s="2944">
        <v>8350</v>
      </c>
      <c r="D204" s="2944">
        <v>8290</v>
      </c>
      <c r="E204" s="2944">
        <v>11080</v>
      </c>
      <c r="F204" s="2944">
        <v>1450</v>
      </c>
      <c r="G204" s="2957">
        <v>5240</v>
      </c>
    </row>
    <row r="205" spans="1:7" s="2778" customFormat="1" ht="14.25" customHeight="1">
      <c r="A205" s="2944" t="s">
        <v>304</v>
      </c>
      <c r="B205" s="2944" t="s">
        <v>2907</v>
      </c>
      <c r="C205" s="2944">
        <v>7190</v>
      </c>
      <c r="D205" s="2944">
        <v>7130</v>
      </c>
      <c r="E205" s="2944">
        <v>9490</v>
      </c>
      <c r="F205" s="2944">
        <v>1470</v>
      </c>
      <c r="G205" s="2957">
        <v>4510</v>
      </c>
    </row>
    <row r="206" spans="1:7" s="2778" customFormat="1" ht="14.25" customHeight="1">
      <c r="A206" s="2944" t="s">
        <v>304</v>
      </c>
      <c r="B206" s="2944" t="s">
        <v>2910</v>
      </c>
      <c r="C206" s="2944">
        <v>7000</v>
      </c>
      <c r="D206" s="2944">
        <v>6950</v>
      </c>
      <c r="E206" s="2944">
        <v>9170</v>
      </c>
      <c r="F206" s="2944">
        <v>1400</v>
      </c>
      <c r="G206" s="2957">
        <v>4380</v>
      </c>
    </row>
    <row r="207" spans="1:7" s="2778" customFormat="1" ht="14.25" customHeight="1">
      <c r="A207" s="2944" t="s">
        <v>304</v>
      </c>
      <c r="B207" s="2944" t="s">
        <v>2912</v>
      </c>
      <c r="C207" s="2944">
        <v>6950</v>
      </c>
      <c r="D207" s="2944">
        <v>6900</v>
      </c>
      <c r="E207" s="2944">
        <v>9110</v>
      </c>
      <c r="F207" s="2944">
        <v>1790</v>
      </c>
      <c r="G207" s="2957">
        <v>4360</v>
      </c>
    </row>
    <row r="208" spans="1:7" s="2778" customFormat="1" ht="14.25" customHeight="1">
      <c r="A208" s="2944" t="s">
        <v>304</v>
      </c>
      <c r="B208" s="2944" t="s">
        <v>3086</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2922</v>
      </c>
      <c r="C210" s="2944">
        <v>8710</v>
      </c>
      <c r="D210" s="2944">
        <v>8660</v>
      </c>
      <c r="E210" s="2944">
        <v>11440</v>
      </c>
      <c r="F210" s="2944">
        <v>1740</v>
      </c>
      <c r="G210" s="2957">
        <v>5470</v>
      </c>
    </row>
    <row r="211" spans="1:7" s="2778" customFormat="1" ht="14.25" customHeight="1">
      <c r="A211" s="2944" t="s">
        <v>304</v>
      </c>
      <c r="B211" s="2944" t="s">
        <v>3087</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3088</v>
      </c>
      <c r="C214" s="2944">
        <v>8090</v>
      </c>
      <c r="D214" s="2944">
        <v>8030</v>
      </c>
      <c r="E214" s="2944">
        <v>10780</v>
      </c>
      <c r="F214" s="2944">
        <v>1570</v>
      </c>
      <c r="G214" s="2957">
        <v>5070</v>
      </c>
    </row>
    <row r="215" spans="1:7" s="2778" customFormat="1" ht="14.25" customHeight="1">
      <c r="A215" s="2944" t="s">
        <v>304</v>
      </c>
      <c r="B215" s="2944" t="s">
        <v>3089</v>
      </c>
      <c r="C215" s="2944">
        <v>7950</v>
      </c>
      <c r="D215" s="2944">
        <v>7900</v>
      </c>
      <c r="E215" s="2944">
        <v>10560</v>
      </c>
      <c r="F215" s="2944">
        <v>1630</v>
      </c>
      <c r="G215" s="2957">
        <v>4990</v>
      </c>
    </row>
    <row r="216" spans="1:7" s="2778" customFormat="1" ht="14.25" customHeight="1">
      <c r="A216" s="2944" t="s">
        <v>304</v>
      </c>
      <c r="B216" s="2944" t="s">
        <v>3090</v>
      </c>
      <c r="C216" s="2944">
        <v>8490</v>
      </c>
      <c r="D216" s="2944">
        <v>8440</v>
      </c>
      <c r="E216" s="2944">
        <v>11260</v>
      </c>
      <c r="F216" s="2944">
        <v>1690</v>
      </c>
      <c r="G216" s="2957">
        <v>5330</v>
      </c>
    </row>
    <row r="217" spans="1:7" s="2778" customFormat="1" ht="14.25" customHeight="1">
      <c r="A217" s="2944" t="s">
        <v>304</v>
      </c>
      <c r="B217" s="2944" t="s">
        <v>2955</v>
      </c>
      <c r="C217" s="2944">
        <v>8200</v>
      </c>
      <c r="D217" s="2944">
        <v>8150</v>
      </c>
      <c r="E217" s="2944">
        <v>10910</v>
      </c>
      <c r="F217" s="2944">
        <v>1670</v>
      </c>
      <c r="G217" s="2957">
        <v>5150</v>
      </c>
    </row>
    <row r="218" spans="1:7" s="2778" customFormat="1" ht="14.25" customHeight="1">
      <c r="A218" s="2944" t="s">
        <v>304</v>
      </c>
      <c r="B218" s="2944" t="s">
        <v>3091</v>
      </c>
      <c r="C218" s="2944"/>
      <c r="D218" s="2944"/>
      <c r="E218" s="2944"/>
      <c r="F218" s="2944">
        <v>2040</v>
      </c>
      <c r="G218" s="2957"/>
    </row>
    <row r="219" spans="1:7" s="2778" customFormat="1" ht="14.25" customHeight="1">
      <c r="A219" s="2944" t="s">
        <v>304</v>
      </c>
      <c r="B219" s="2944" t="s">
        <v>3092</v>
      </c>
      <c r="C219" s="2944"/>
      <c r="D219" s="2944"/>
      <c r="E219" s="2944"/>
      <c r="F219" s="2944">
        <v>2040</v>
      </c>
      <c r="G219" s="2957"/>
    </row>
    <row r="220" spans="1:7" s="2778" customFormat="1" ht="14.25" customHeight="1">
      <c r="A220" s="2944" t="s">
        <v>304</v>
      </c>
      <c r="B220" s="2944" t="s">
        <v>3093</v>
      </c>
      <c r="C220" s="2944"/>
      <c r="D220" s="2944"/>
      <c r="E220" s="2944"/>
      <c r="F220" s="2944">
        <v>2040</v>
      </c>
      <c r="G220" s="2957"/>
    </row>
    <row r="221" spans="1:7" s="2778" customFormat="1" ht="14.25" customHeight="1">
      <c r="A221" s="2944" t="s">
        <v>304</v>
      </c>
      <c r="B221" s="2944" t="s">
        <v>3094</v>
      </c>
      <c r="C221" s="2944"/>
      <c r="D221" s="2944"/>
      <c r="E221" s="2944"/>
      <c r="F221" s="2944">
        <v>2040</v>
      </c>
      <c r="G221" s="2957"/>
    </row>
    <row r="222" spans="1:7" s="2778" customFormat="1" ht="14.25" customHeight="1">
      <c r="A222" s="2944" t="s">
        <v>304</v>
      </c>
      <c r="B222" s="2944" t="s">
        <v>3095</v>
      </c>
      <c r="C222" s="2944"/>
      <c r="D222" s="2944"/>
      <c r="E222" s="2944"/>
      <c r="F222" s="2944">
        <v>2040</v>
      </c>
      <c r="G222" s="2957"/>
    </row>
    <row r="223" spans="1:7" s="2778" customFormat="1" ht="14.25" customHeight="1">
      <c r="A223" s="2944" t="s">
        <v>304</v>
      </c>
      <c r="B223" s="2944" t="s">
        <v>3096</v>
      </c>
      <c r="C223" s="2944"/>
      <c r="D223" s="2944"/>
      <c r="E223" s="2944"/>
      <c r="F223" s="2944">
        <v>1930</v>
      </c>
      <c r="G223" s="2957"/>
    </row>
    <row r="224" spans="1:7" s="2778" customFormat="1" ht="14.25" customHeight="1">
      <c r="A224" s="2944" t="s">
        <v>304</v>
      </c>
      <c r="B224" s="2944" t="s">
        <v>3097</v>
      </c>
      <c r="C224" s="2944"/>
      <c r="D224" s="2944"/>
      <c r="E224" s="2944"/>
      <c r="F224" s="2944">
        <v>1930</v>
      </c>
      <c r="G224" s="2957"/>
    </row>
    <row r="225" spans="1:7" s="2778" customFormat="1" ht="14.25" customHeight="1">
      <c r="A225" s="2944" t="s">
        <v>304</v>
      </c>
      <c r="B225" s="2944" t="s">
        <v>3098</v>
      </c>
      <c r="C225" s="2944"/>
      <c r="D225" s="2944"/>
      <c r="E225" s="2944"/>
      <c r="F225" s="2944">
        <v>1930</v>
      </c>
      <c r="G225" s="2957"/>
    </row>
    <row r="226" spans="1:7" s="2778" customFormat="1" ht="14.25" customHeight="1">
      <c r="A226" s="2944" t="s">
        <v>304</v>
      </c>
      <c r="B226" s="2944" t="s">
        <v>3099</v>
      </c>
      <c r="C226" s="2944"/>
      <c r="D226" s="2944"/>
      <c r="E226" s="2944"/>
      <c r="F226" s="2944">
        <v>1700</v>
      </c>
      <c r="G226" s="2957"/>
    </row>
    <row r="227" spans="1:7" s="2778" customFormat="1" ht="14.25" customHeight="1">
      <c r="A227" s="2944" t="s">
        <v>304</v>
      </c>
      <c r="B227" s="2944" t="s">
        <v>3100</v>
      </c>
      <c r="C227" s="2944"/>
      <c r="D227" s="2944"/>
      <c r="E227" s="2944"/>
      <c r="F227" s="2944">
        <v>1520</v>
      </c>
      <c r="G227" s="2957"/>
    </row>
    <row r="228" spans="1:7" s="2778" customFormat="1" ht="14.25" customHeight="1">
      <c r="A228" s="2944" t="s">
        <v>304</v>
      </c>
      <c r="B228" s="2944" t="s">
        <v>3101</v>
      </c>
      <c r="C228" s="2944"/>
      <c r="D228" s="2944"/>
      <c r="E228" s="2944"/>
      <c r="F228" s="2944">
        <v>1520</v>
      </c>
      <c r="G228" s="2957"/>
    </row>
    <row r="229" spans="1:7" s="2778" customFormat="1" ht="14.25" customHeight="1">
      <c r="A229" s="2944" t="s">
        <v>304</v>
      </c>
      <c r="B229" s="2944" t="s">
        <v>3018</v>
      </c>
      <c r="C229" s="2944"/>
      <c r="D229" s="2944"/>
      <c r="E229" s="2944"/>
      <c r="F229" s="2944">
        <v>1520</v>
      </c>
      <c r="G229" s="2957"/>
    </row>
    <row r="230" spans="1:7" s="2778" customFormat="1" ht="14.25" customHeight="1">
      <c r="A230" s="2944" t="s">
        <v>304</v>
      </c>
      <c r="B230" s="2944" t="s">
        <v>3102</v>
      </c>
      <c r="C230" s="2944"/>
      <c r="D230" s="2944"/>
      <c r="E230" s="2944"/>
      <c r="F230" s="2944">
        <v>1820</v>
      </c>
      <c r="G230" s="2957"/>
    </row>
    <row r="231" spans="1:7" s="2778" customFormat="1" ht="14.25" customHeight="1">
      <c r="A231" s="2944" t="s">
        <v>304</v>
      </c>
      <c r="B231" s="2944" t="s">
        <v>3103</v>
      </c>
      <c r="C231" s="2944"/>
      <c r="D231" s="2944"/>
      <c r="E231" s="2944"/>
      <c r="F231" s="2944">
        <v>1760</v>
      </c>
      <c r="G231" s="2957"/>
    </row>
    <row r="232" spans="1:7" s="2778" customFormat="1" ht="14.25" customHeight="1">
      <c r="A232" s="2944" t="s">
        <v>304</v>
      </c>
      <c r="B232" s="2944" t="s">
        <v>3104</v>
      </c>
      <c r="C232" s="2944"/>
      <c r="D232" s="2944"/>
      <c r="E232" s="2944"/>
      <c r="F232" s="2944">
        <v>1840</v>
      </c>
      <c r="G232" s="2957"/>
    </row>
    <row r="233" spans="1:7" s="2778" customFormat="1" ht="14.25" customHeight="1" thickBot="1">
      <c r="A233" s="2958" t="s">
        <v>304</v>
      </c>
      <c r="B233" s="2951" t="s">
        <v>3035</v>
      </c>
      <c r="C233" s="2951"/>
      <c r="D233" s="2951"/>
      <c r="E233" s="2951"/>
      <c r="F233" s="2951">
        <v>1770</v>
      </c>
      <c r="G233" s="2959"/>
    </row>
    <row r="234" spans="1:7" s="2778" customFormat="1" ht="14.25" customHeight="1">
      <c r="A234" s="2949" t="s">
        <v>305</v>
      </c>
      <c r="B234" s="2940" t="s">
        <v>3105</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2876</v>
      </c>
      <c r="C238" s="2944">
        <v>6920</v>
      </c>
      <c r="D238" s="2944">
        <v>6890</v>
      </c>
      <c r="E238" s="2944">
        <v>8640</v>
      </c>
      <c r="F238" s="2944">
        <v>1310</v>
      </c>
      <c r="G238" s="2944">
        <v>4230</v>
      </c>
    </row>
    <row r="239" spans="1:7" s="2778" customFormat="1" ht="14.25" customHeight="1">
      <c r="A239" s="2944" t="s">
        <v>305</v>
      </c>
      <c r="B239" s="2944" t="s">
        <v>3106</v>
      </c>
      <c r="C239" s="2944">
        <v>6780</v>
      </c>
      <c r="D239" s="2944">
        <v>6750</v>
      </c>
      <c r="E239" s="2944">
        <v>8440</v>
      </c>
      <c r="F239" s="2944">
        <v>1160</v>
      </c>
      <c r="G239" s="2944">
        <v>4140</v>
      </c>
    </row>
    <row r="240" spans="1:7" s="2778" customFormat="1" ht="14.25" customHeight="1">
      <c r="A240" s="2944" t="s">
        <v>305</v>
      </c>
      <c r="B240" s="2944" t="s">
        <v>3107</v>
      </c>
      <c r="C240" s="2944">
        <v>5420</v>
      </c>
      <c r="D240" s="2944">
        <v>5380</v>
      </c>
      <c r="E240" s="2944">
        <v>6640</v>
      </c>
      <c r="F240" s="2944">
        <v>1020</v>
      </c>
      <c r="G240" s="2944">
        <v>3300</v>
      </c>
    </row>
    <row r="241" spans="1:7" s="2778" customFormat="1" ht="14.25" customHeight="1">
      <c r="A241" s="2944" t="s">
        <v>305</v>
      </c>
      <c r="B241" s="2944" t="s">
        <v>3108</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3109</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3110</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3111</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3112</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3113</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2938</v>
      </c>
      <c r="C258" s="2944">
        <v>6190</v>
      </c>
      <c r="D258" s="2944">
        <v>6160</v>
      </c>
      <c r="E258" s="2944">
        <v>7680</v>
      </c>
      <c r="F258" s="2944">
        <v>1170</v>
      </c>
      <c r="G258" s="2944">
        <v>3780</v>
      </c>
    </row>
    <row r="259" spans="1:7" s="2778" customFormat="1" ht="14.25" customHeight="1">
      <c r="A259" s="2944" t="s">
        <v>305</v>
      </c>
      <c r="B259" s="2944" t="s">
        <v>3114</v>
      </c>
      <c r="C259" s="2944">
        <v>7610</v>
      </c>
      <c r="D259" s="2944">
        <v>7570</v>
      </c>
      <c r="E259" s="2944">
        <v>9350</v>
      </c>
      <c r="F259" s="2944">
        <v>1350</v>
      </c>
      <c r="G259" s="2944">
        <v>4650</v>
      </c>
    </row>
    <row r="260" spans="1:7" s="2778" customFormat="1" ht="14.25" customHeight="1">
      <c r="A260" s="2944" t="s">
        <v>305</v>
      </c>
      <c r="B260" s="2944" t="s">
        <v>3115</v>
      </c>
      <c r="C260" s="2944">
        <v>6920</v>
      </c>
      <c r="D260" s="2944">
        <v>6880</v>
      </c>
      <c r="E260" s="2944">
        <v>8380</v>
      </c>
      <c r="F260" s="2944">
        <v>1160</v>
      </c>
      <c r="G260" s="2944">
        <v>4220</v>
      </c>
    </row>
    <row r="261" spans="1:7" s="2778" customFormat="1" ht="14.25" customHeight="1">
      <c r="A261" s="2944" t="s">
        <v>305</v>
      </c>
      <c r="B261" s="2944" t="s">
        <v>3116</v>
      </c>
      <c r="C261" s="2944">
        <v>6850</v>
      </c>
      <c r="D261" s="2944">
        <v>6810</v>
      </c>
      <c r="E261" s="2944">
        <v>8290</v>
      </c>
      <c r="F261" s="2944">
        <v>1130</v>
      </c>
      <c r="G261" s="2944">
        <v>4180</v>
      </c>
    </row>
    <row r="262" spans="1:7" s="2778" customFormat="1" ht="14.25" customHeight="1">
      <c r="A262" s="2944" t="s">
        <v>305</v>
      </c>
      <c r="B262" s="2944" t="s">
        <v>3117</v>
      </c>
      <c r="C262" s="2944">
        <v>5860</v>
      </c>
      <c r="D262" s="2944">
        <v>5820</v>
      </c>
      <c r="E262" s="2944">
        <v>7640</v>
      </c>
      <c r="F262" s="2944">
        <v>1070</v>
      </c>
      <c r="G262" s="2944">
        <v>3570</v>
      </c>
    </row>
    <row r="263" spans="1:7" s="2778" customFormat="1" ht="14.25" customHeight="1">
      <c r="A263" s="2944" t="s">
        <v>305</v>
      </c>
      <c r="B263" s="2944" t="s">
        <v>3118</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3119</v>
      </c>
      <c r="C265" s="2944"/>
      <c r="D265" s="2944"/>
      <c r="E265" s="2944"/>
      <c r="F265" s="2944">
        <v>1500</v>
      </c>
      <c r="G265" s="2944"/>
    </row>
    <row r="266" spans="1:7" s="2778" customFormat="1" ht="14.25" customHeight="1">
      <c r="A266" s="2944" t="s">
        <v>305</v>
      </c>
      <c r="B266" s="2944" t="s">
        <v>3120</v>
      </c>
      <c r="C266" s="2944"/>
      <c r="D266" s="2944"/>
      <c r="E266" s="2944"/>
      <c r="F266" s="2944">
        <v>1500</v>
      </c>
      <c r="G266" s="2944"/>
    </row>
    <row r="267" spans="1:7" s="2778" customFormat="1" ht="14.25" customHeight="1">
      <c r="A267" s="2944" t="s">
        <v>305</v>
      </c>
      <c r="B267" s="2944" t="s">
        <v>3121</v>
      </c>
      <c r="C267" s="2944"/>
      <c r="D267" s="2944"/>
      <c r="E267" s="2944"/>
      <c r="F267" s="2944">
        <v>1500</v>
      </c>
      <c r="G267" s="2944"/>
    </row>
    <row r="268" spans="1:7" s="2778" customFormat="1" ht="14.25" customHeight="1">
      <c r="A268" s="2944" t="s">
        <v>305</v>
      </c>
      <c r="B268" s="2944" t="s">
        <v>3122</v>
      </c>
      <c r="C268" s="2944"/>
      <c r="D268" s="2944"/>
      <c r="E268" s="2944"/>
      <c r="F268" s="2944">
        <v>1290</v>
      </c>
      <c r="G268" s="2944"/>
    </row>
    <row r="269" spans="1:7" s="2778" customFormat="1" ht="14.25" customHeight="1">
      <c r="A269" s="2944" t="s">
        <v>305</v>
      </c>
      <c r="B269" s="2944" t="s">
        <v>3123</v>
      </c>
      <c r="C269" s="2944"/>
      <c r="D269" s="2944"/>
      <c r="E269" s="2944"/>
      <c r="F269" s="2944">
        <v>1150</v>
      </c>
      <c r="G269" s="2944"/>
    </row>
    <row r="270" spans="1:7" s="2778" customFormat="1" ht="14.25" customHeight="1">
      <c r="A270" s="2944" t="s">
        <v>305</v>
      </c>
      <c r="B270" s="2944" t="s">
        <v>3124</v>
      </c>
      <c r="C270" s="2944"/>
      <c r="D270" s="2944"/>
      <c r="E270" s="2944"/>
      <c r="F270" s="2944">
        <v>1380</v>
      </c>
      <c r="G270" s="2944"/>
    </row>
    <row r="271" spans="1:7" s="2778" customFormat="1" ht="14.25" customHeight="1">
      <c r="A271" s="2944" t="s">
        <v>305</v>
      </c>
      <c r="B271" s="2944" t="s">
        <v>3125</v>
      </c>
      <c r="C271" s="2944"/>
      <c r="D271" s="2944"/>
      <c r="E271" s="2944"/>
      <c r="F271" s="2944">
        <v>1460</v>
      </c>
      <c r="G271" s="2944"/>
    </row>
    <row r="272" spans="1:7" s="2778" customFormat="1" ht="14.25" customHeight="1">
      <c r="A272" s="2944" t="s">
        <v>305</v>
      </c>
      <c r="B272" s="2944" t="s">
        <v>3126</v>
      </c>
      <c r="C272" s="2944"/>
      <c r="D272" s="2944"/>
      <c r="E272" s="2944"/>
      <c r="F272" s="2944">
        <v>1460</v>
      </c>
      <c r="G272" s="2944"/>
    </row>
    <row r="273" spans="1:7" s="2778" customFormat="1" ht="14.25" customHeight="1">
      <c r="A273" s="2944" t="s">
        <v>305</v>
      </c>
      <c r="B273" s="2944" t="s">
        <v>3019</v>
      </c>
      <c r="C273" s="2944"/>
      <c r="D273" s="2944"/>
      <c r="E273" s="2944"/>
      <c r="F273" s="2944">
        <v>1490</v>
      </c>
      <c r="G273" s="2944"/>
    </row>
    <row r="274" spans="1:7" s="2778" customFormat="1" ht="14.25" customHeight="1">
      <c r="A274" s="2944" t="s">
        <v>305</v>
      </c>
      <c r="B274" s="2944" t="s">
        <v>3127</v>
      </c>
      <c r="C274" s="2944"/>
      <c r="D274" s="2944"/>
      <c r="E274" s="2944"/>
      <c r="F274" s="2944">
        <v>1490</v>
      </c>
      <c r="G274" s="2944"/>
    </row>
    <row r="275" spans="1:7" s="2778" customFormat="1" ht="14.25" customHeight="1">
      <c r="A275" s="2944" t="s">
        <v>305</v>
      </c>
      <c r="B275" s="2944" t="s">
        <v>3128</v>
      </c>
      <c r="C275" s="2944"/>
      <c r="D275" s="2944"/>
      <c r="E275" s="2944"/>
      <c r="F275" s="2944">
        <v>1220</v>
      </c>
      <c r="G275" s="2944"/>
    </row>
    <row r="276" spans="1:7" s="2778" customFormat="1" ht="14.25" customHeight="1" thickBot="1">
      <c r="A276" s="2952" t="s">
        <v>305</v>
      </c>
      <c r="B276" s="2954" t="s">
        <v>3129</v>
      </c>
      <c r="C276" s="2955"/>
      <c r="D276" s="2955"/>
      <c r="E276" s="2955"/>
      <c r="F276" s="2955">
        <v>1380</v>
      </c>
      <c r="G276" s="2955"/>
    </row>
    <row r="277" spans="1:7" s="2778" customFormat="1" ht="14.25" customHeight="1">
      <c r="A277" s="2949" t="s">
        <v>306</v>
      </c>
      <c r="B277" s="2940" t="s">
        <v>3130</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3131</v>
      </c>
      <c r="C279" s="2944">
        <v>4760</v>
      </c>
      <c r="D279" s="2944">
        <v>4720</v>
      </c>
      <c r="E279" s="2944">
        <v>5540</v>
      </c>
      <c r="F279" s="2944">
        <v>810</v>
      </c>
      <c r="G279" s="2957">
        <v>2850</v>
      </c>
    </row>
    <row r="280" spans="1:7" s="2778" customFormat="1" ht="14.25" customHeight="1">
      <c r="A280" s="2944" t="s">
        <v>306</v>
      </c>
      <c r="B280" s="2944" t="s">
        <v>3132</v>
      </c>
      <c r="C280" s="2944">
        <v>4010</v>
      </c>
      <c r="D280" s="2944">
        <v>3950</v>
      </c>
      <c r="E280" s="2944">
        <v>4710</v>
      </c>
      <c r="F280" s="2944">
        <v>800</v>
      </c>
      <c r="G280" s="2957">
        <v>2390</v>
      </c>
    </row>
    <row r="281" spans="1:7" s="2778" customFormat="1" ht="14.25" customHeight="1">
      <c r="A281" s="2944" t="s">
        <v>306</v>
      </c>
      <c r="B281" s="2944" t="s">
        <v>3133</v>
      </c>
      <c r="C281" s="2944">
        <v>4480</v>
      </c>
      <c r="D281" s="2944">
        <v>4420</v>
      </c>
      <c r="E281" s="2944">
        <v>5230</v>
      </c>
      <c r="F281" s="2944">
        <v>870</v>
      </c>
      <c r="G281" s="2957">
        <v>2660</v>
      </c>
    </row>
    <row r="282" spans="1:7" s="2778" customFormat="1" ht="14.25" customHeight="1">
      <c r="A282" s="2944" t="s">
        <v>306</v>
      </c>
      <c r="B282" s="2944" t="s">
        <v>3134</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3135</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3136</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2911</v>
      </c>
      <c r="C293" s="2944">
        <v>5320</v>
      </c>
      <c r="D293" s="2944">
        <v>5270</v>
      </c>
      <c r="E293" s="2944">
        <v>6160</v>
      </c>
      <c r="F293" s="2944">
        <v>990</v>
      </c>
      <c r="G293" s="2957">
        <v>3170</v>
      </c>
    </row>
    <row r="294" spans="1:7" s="2778" customFormat="1" ht="14.25" customHeight="1">
      <c r="A294" s="2944" t="s">
        <v>306</v>
      </c>
      <c r="B294" s="2944" t="s">
        <v>3137</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2930</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3138</v>
      </c>
      <c r="C302" s="2944">
        <v>5520</v>
      </c>
      <c r="D302" s="2944">
        <v>5470</v>
      </c>
      <c r="E302" s="2944">
        <v>6410</v>
      </c>
      <c r="F302" s="2944">
        <v>950</v>
      </c>
      <c r="G302" s="2957">
        <v>3300</v>
      </c>
    </row>
    <row r="303" spans="1:7" s="2778" customFormat="1" ht="14.25" customHeight="1">
      <c r="A303" s="2944" t="s">
        <v>306</v>
      </c>
      <c r="B303" s="2944" t="s">
        <v>2950</v>
      </c>
      <c r="C303" s="2944">
        <v>5630</v>
      </c>
      <c r="D303" s="2944">
        <v>5590</v>
      </c>
      <c r="E303" s="2944">
        <v>6550</v>
      </c>
      <c r="F303" s="2944">
        <v>1010</v>
      </c>
      <c r="G303" s="2957">
        <v>3370</v>
      </c>
    </row>
    <row r="304" spans="1:7" s="2778" customFormat="1" ht="14.25" customHeight="1">
      <c r="A304" s="2944" t="s">
        <v>306</v>
      </c>
      <c r="B304" s="2944" t="s">
        <v>2957</v>
      </c>
      <c r="C304" s="2944">
        <v>5680</v>
      </c>
      <c r="D304" s="2944">
        <v>5620</v>
      </c>
      <c r="E304" s="2944">
        <v>6620</v>
      </c>
      <c r="F304" s="2944">
        <v>1050</v>
      </c>
      <c r="G304" s="2957">
        <v>3390</v>
      </c>
    </row>
    <row r="305" spans="1:7" s="2778" customFormat="1" ht="14.25" customHeight="1">
      <c r="A305" s="2944" t="s">
        <v>306</v>
      </c>
      <c r="B305" s="2944" t="s">
        <v>2963</v>
      </c>
      <c r="C305" s="2944">
        <v>5590</v>
      </c>
      <c r="D305" s="2944">
        <v>5530</v>
      </c>
      <c r="E305" s="2944">
        <v>6460</v>
      </c>
      <c r="F305" s="2944">
        <v>900</v>
      </c>
      <c r="G305" s="2957">
        <v>3340</v>
      </c>
    </row>
    <row r="306" spans="1:7" s="2778" customFormat="1" ht="14.25" customHeight="1">
      <c r="A306" s="2944" t="s">
        <v>306</v>
      </c>
      <c r="B306" s="2944" t="s">
        <v>3139</v>
      </c>
      <c r="C306" s="2944">
        <v>5560</v>
      </c>
      <c r="D306" s="2944">
        <v>5510</v>
      </c>
      <c r="E306" s="2944">
        <v>6440</v>
      </c>
      <c r="F306" s="2944">
        <v>900</v>
      </c>
      <c r="G306" s="2957">
        <v>3320</v>
      </c>
    </row>
    <row r="307" spans="1:7" s="2778" customFormat="1" ht="14.25" customHeight="1">
      <c r="A307" s="2944" t="s">
        <v>306</v>
      </c>
      <c r="B307" s="2944" t="s">
        <v>2975</v>
      </c>
      <c r="C307" s="2944">
        <v>5650</v>
      </c>
      <c r="D307" s="2944">
        <v>5600</v>
      </c>
      <c r="E307" s="2944">
        <v>6590</v>
      </c>
      <c r="F307" s="2944">
        <v>930</v>
      </c>
      <c r="G307" s="2957">
        <v>3380</v>
      </c>
    </row>
    <row r="308" spans="1:7" s="2778" customFormat="1" ht="14.25" customHeight="1">
      <c r="A308" s="2944" t="s">
        <v>306</v>
      </c>
      <c r="B308" s="2944" t="s">
        <v>3140</v>
      </c>
      <c r="C308" s="2944">
        <v>5620</v>
      </c>
      <c r="D308" s="2944">
        <v>5580</v>
      </c>
      <c r="E308" s="2944">
        <v>6540</v>
      </c>
      <c r="F308" s="2944">
        <v>910</v>
      </c>
      <c r="G308" s="2957">
        <v>3370</v>
      </c>
    </row>
    <row r="309" spans="1:7" s="2778" customFormat="1" ht="14.25" customHeight="1">
      <c r="A309" s="2944" t="s">
        <v>306</v>
      </c>
      <c r="B309" s="2944" t="s">
        <v>3141</v>
      </c>
      <c r="C309" s="2944">
        <v>5060</v>
      </c>
      <c r="D309" s="2944">
        <v>5020</v>
      </c>
      <c r="E309" s="2944">
        <v>6370</v>
      </c>
      <c r="F309" s="2944">
        <v>800</v>
      </c>
      <c r="G309" s="2957">
        <v>3020</v>
      </c>
    </row>
    <row r="310" spans="1:7" s="2778" customFormat="1" ht="14.25" customHeight="1">
      <c r="A310" s="2944" t="s">
        <v>306</v>
      </c>
      <c r="B310" s="2944" t="s">
        <v>2990</v>
      </c>
      <c r="C310" s="2944">
        <v>5150</v>
      </c>
      <c r="D310" s="2944">
        <v>5110</v>
      </c>
      <c r="E310" s="2944">
        <v>6500</v>
      </c>
      <c r="F310" s="2944">
        <v>880</v>
      </c>
      <c r="G310" s="2957">
        <v>3080</v>
      </c>
    </row>
    <row r="311" spans="1:7" s="2778" customFormat="1" ht="14.25" customHeight="1">
      <c r="A311" s="2944" t="s">
        <v>306</v>
      </c>
      <c r="B311" s="2944" t="s">
        <v>3142</v>
      </c>
      <c r="C311" s="2944">
        <v>4750</v>
      </c>
      <c r="D311" s="2944">
        <v>4710</v>
      </c>
      <c r="E311" s="2944">
        <v>5510</v>
      </c>
      <c r="F311" s="2944">
        <v>880</v>
      </c>
      <c r="G311" s="2957">
        <v>2840</v>
      </c>
    </row>
    <row r="312" spans="1:7" s="2778" customFormat="1" ht="14.25" customHeight="1">
      <c r="A312" s="2944" t="s">
        <v>306</v>
      </c>
      <c r="B312" s="2944" t="s">
        <v>3000</v>
      </c>
      <c r="C312" s="2944">
        <v>4690</v>
      </c>
      <c r="D312" s="2944">
        <v>4640</v>
      </c>
      <c r="E312" s="2944">
        <v>5420</v>
      </c>
      <c r="F312" s="2944">
        <v>800</v>
      </c>
      <c r="G312" s="2957">
        <v>2800</v>
      </c>
    </row>
    <row r="313" spans="1:7" s="2778" customFormat="1" ht="14.25" customHeight="1">
      <c r="A313" s="2944" t="s">
        <v>306</v>
      </c>
      <c r="B313" s="2944" t="s">
        <v>3005</v>
      </c>
      <c r="C313" s="2944">
        <v>4810</v>
      </c>
      <c r="D313" s="2944">
        <v>4760</v>
      </c>
      <c r="E313" s="2944">
        <v>5550</v>
      </c>
      <c r="F313" s="2944">
        <v>920</v>
      </c>
      <c r="G313" s="2957">
        <v>2870</v>
      </c>
    </row>
    <row r="314" spans="1:7" s="2778" customFormat="1" ht="14.25" customHeight="1">
      <c r="A314" s="2944" t="s">
        <v>306</v>
      </c>
      <c r="B314" s="2944" t="s">
        <v>3143</v>
      </c>
      <c r="C314" s="2944"/>
      <c r="D314" s="2944"/>
      <c r="E314" s="2944"/>
      <c r="F314" s="2944">
        <v>1020</v>
      </c>
      <c r="G314" s="2957"/>
    </row>
    <row r="315" spans="1:7" s="2778" customFormat="1" ht="14.25" customHeight="1">
      <c r="A315" s="2944" t="s">
        <v>306</v>
      </c>
      <c r="B315" s="2944" t="s">
        <v>3144</v>
      </c>
      <c r="C315" s="2944"/>
      <c r="D315" s="2944"/>
      <c r="E315" s="2944"/>
      <c r="F315" s="2944">
        <v>1050</v>
      </c>
      <c r="G315" s="2957"/>
    </row>
    <row r="316" spans="1:7" s="2778" customFormat="1" ht="14.25" customHeight="1">
      <c r="A316" s="2944" t="s">
        <v>306</v>
      </c>
      <c r="B316" s="2944" t="s">
        <v>3020</v>
      </c>
      <c r="C316" s="2944"/>
      <c r="D316" s="2944"/>
      <c r="E316" s="2944"/>
      <c r="F316" s="2944">
        <v>900</v>
      </c>
      <c r="G316" s="2957"/>
    </row>
    <row r="317" spans="1:7" s="2778" customFormat="1" ht="14.25" customHeight="1">
      <c r="A317" s="2944" t="s">
        <v>306</v>
      </c>
      <c r="B317" s="2944" t="s">
        <v>3145</v>
      </c>
      <c r="C317" s="2944"/>
      <c r="D317" s="2944"/>
      <c r="E317" s="2944"/>
      <c r="F317" s="2944">
        <v>920</v>
      </c>
      <c r="G317" s="2957"/>
    </row>
    <row r="318" spans="1:7" s="2778" customFormat="1" ht="14.25" customHeight="1">
      <c r="A318" s="2944" t="s">
        <v>306</v>
      </c>
      <c r="B318" s="2944" t="s">
        <v>3146</v>
      </c>
      <c r="C318" s="2944"/>
      <c r="D318" s="2944"/>
      <c r="E318" s="2944"/>
      <c r="F318" s="2944">
        <v>1080</v>
      </c>
      <c r="G318" s="2957"/>
    </row>
    <row r="319" spans="1:7" s="2778" customFormat="1" ht="14.25" customHeight="1">
      <c r="A319" s="2944" t="s">
        <v>306</v>
      </c>
      <c r="B319" s="2944" t="s">
        <v>3033</v>
      </c>
      <c r="C319" s="2944"/>
      <c r="D319" s="2944"/>
      <c r="E319" s="2944"/>
      <c r="F319" s="2944">
        <v>1020</v>
      </c>
      <c r="G319" s="2957"/>
    </row>
    <row r="320" spans="1:7" s="2778" customFormat="1" ht="14.25" customHeight="1">
      <c r="A320" s="2944" t="s">
        <v>306</v>
      </c>
      <c r="B320" s="2944" t="s">
        <v>3036</v>
      </c>
      <c r="C320" s="2944"/>
      <c r="D320" s="2944"/>
      <c r="E320" s="2944"/>
      <c r="F320" s="2944">
        <v>1050</v>
      </c>
      <c r="G320" s="2957"/>
    </row>
    <row r="321" spans="1:7" s="2778" customFormat="1" ht="14.25" customHeight="1">
      <c r="A321" s="2944" t="s">
        <v>306</v>
      </c>
      <c r="B321" s="2944" t="s">
        <v>3038</v>
      </c>
      <c r="C321" s="2944"/>
      <c r="D321" s="2944"/>
      <c r="E321" s="2944"/>
      <c r="F321" s="2944">
        <v>960</v>
      </c>
      <c r="G321" s="2957"/>
    </row>
    <row r="322" spans="1:7" s="2778" customFormat="1" ht="14.25" customHeight="1">
      <c r="A322" s="2944" t="s">
        <v>306</v>
      </c>
      <c r="B322" s="2944" t="s">
        <v>3040</v>
      </c>
      <c r="C322" s="2944"/>
      <c r="D322" s="2944"/>
      <c r="E322" s="2944"/>
      <c r="F322" s="2944">
        <v>960</v>
      </c>
      <c r="G322" s="2957"/>
    </row>
    <row r="323" spans="1:7" s="2778" customFormat="1" ht="14.25" customHeight="1">
      <c r="A323" s="2944" t="s">
        <v>306</v>
      </c>
      <c r="B323" s="2944" t="s">
        <v>3042</v>
      </c>
      <c r="C323" s="2944"/>
      <c r="D323" s="2944"/>
      <c r="E323" s="2944"/>
      <c r="F323" s="2944">
        <v>880</v>
      </c>
      <c r="G323" s="2957"/>
    </row>
    <row r="324" spans="1:7" s="2778" customFormat="1" ht="14.25" customHeight="1">
      <c r="A324" s="2944" t="s">
        <v>306</v>
      </c>
      <c r="B324" s="2944" t="s">
        <v>3044</v>
      </c>
      <c r="C324" s="2944"/>
      <c r="D324" s="2944"/>
      <c r="E324" s="2944"/>
      <c r="F324" s="2944">
        <v>930</v>
      </c>
      <c r="G324" s="2957"/>
    </row>
    <row r="325" spans="1:7" s="2778" customFormat="1" ht="14.25" customHeight="1">
      <c r="A325" s="2944" t="s">
        <v>306</v>
      </c>
      <c r="B325" s="2945" t="s">
        <v>3046</v>
      </c>
      <c r="C325" s="2944"/>
      <c r="D325" s="2944"/>
      <c r="E325" s="2944"/>
      <c r="F325" s="2944">
        <v>900</v>
      </c>
      <c r="G325" s="2957"/>
    </row>
    <row r="326" spans="1:7" s="2778" customFormat="1" ht="14.25" customHeight="1" thickBot="1">
      <c r="A326" s="2958" t="s">
        <v>306</v>
      </c>
      <c r="B326" s="2951" t="s">
        <v>3048</v>
      </c>
      <c r="C326" s="2951"/>
      <c r="D326" s="2951"/>
      <c r="E326" s="2951"/>
      <c r="F326" s="2951">
        <v>790</v>
      </c>
      <c r="G326" s="2959"/>
    </row>
    <row r="327" spans="1:7" s="2778" customFormat="1" ht="14.25" customHeight="1">
      <c r="A327" s="2949" t="s">
        <v>307</v>
      </c>
      <c r="B327" s="2940" t="s">
        <v>3147</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3148</v>
      </c>
      <c r="C329" s="2944">
        <v>2730</v>
      </c>
      <c r="D329" s="2944">
        <v>2690</v>
      </c>
      <c r="E329" s="2944">
        <v>3100</v>
      </c>
      <c r="F329" s="2944">
        <v>660</v>
      </c>
      <c r="G329" s="2944">
        <v>1610</v>
      </c>
    </row>
    <row r="330" spans="1:7" s="2778" customFormat="1" ht="14.25" customHeight="1">
      <c r="A330" s="2944" t="s">
        <v>307</v>
      </c>
      <c r="B330" s="2944" t="s">
        <v>3149</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2882</v>
      </c>
      <c r="C332" s="2944">
        <v>3520</v>
      </c>
      <c r="D332" s="2944">
        <v>3480</v>
      </c>
      <c r="E332" s="2944">
        <v>3830</v>
      </c>
      <c r="F332" s="2944">
        <v>720</v>
      </c>
      <c r="G332" s="2944">
        <v>2090</v>
      </c>
    </row>
    <row r="333" spans="1:7" s="2778" customFormat="1" ht="14.25" customHeight="1">
      <c r="A333" s="2944" t="s">
        <v>307</v>
      </c>
      <c r="B333" s="2944" t="s">
        <v>3150</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2892</v>
      </c>
      <c r="C336" s="2944">
        <v>3570</v>
      </c>
      <c r="D336" s="2944">
        <v>3530</v>
      </c>
      <c r="E336" s="2944">
        <v>3880</v>
      </c>
      <c r="F336" s="2944">
        <v>770</v>
      </c>
      <c r="G336" s="2944">
        <v>2110</v>
      </c>
    </row>
    <row r="337" spans="1:10" s="2778" customFormat="1" ht="14.25" customHeight="1">
      <c r="A337" s="2944" t="s">
        <v>307</v>
      </c>
      <c r="B337" s="2944" t="s">
        <v>3151</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3152</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3153</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2917</v>
      </c>
      <c r="C345" s="2944">
        <v>3190</v>
      </c>
      <c r="D345" s="2944">
        <v>3140</v>
      </c>
      <c r="E345" s="2944">
        <v>3450</v>
      </c>
      <c r="F345" s="2944">
        <v>720</v>
      </c>
      <c r="G345" s="2944">
        <v>1880</v>
      </c>
      <c r="J345" s="2778"/>
    </row>
    <row r="346" spans="1:10">
      <c r="A346" s="2944" t="s">
        <v>307</v>
      </c>
      <c r="B346" s="2944" t="s">
        <v>3154</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2926</v>
      </c>
      <c r="C348" s="2944">
        <v>4000</v>
      </c>
      <c r="D348" s="2944">
        <v>3950</v>
      </c>
      <c r="E348" s="2944">
        <v>4430</v>
      </c>
      <c r="F348" s="2944">
        <v>760</v>
      </c>
      <c r="G348" s="2944">
        <v>2360</v>
      </c>
      <c r="J348" s="2778"/>
    </row>
    <row r="349" spans="1:10">
      <c r="A349" s="2944" t="s">
        <v>307</v>
      </c>
      <c r="B349" s="2944" t="s">
        <v>2931</v>
      </c>
      <c r="C349" s="2944">
        <v>3820</v>
      </c>
      <c r="D349" s="2944">
        <v>3780</v>
      </c>
      <c r="E349" s="2944">
        <v>4170</v>
      </c>
      <c r="F349" s="2944">
        <v>710</v>
      </c>
      <c r="G349" s="2944">
        <v>2260</v>
      </c>
      <c r="J349" s="2778"/>
    </row>
    <row r="350" spans="1:10">
      <c r="A350" s="2944" t="s">
        <v>307</v>
      </c>
      <c r="B350" s="2944" t="s">
        <v>3155</v>
      </c>
      <c r="C350" s="2944">
        <v>3760</v>
      </c>
      <c r="D350" s="2944">
        <v>3730</v>
      </c>
      <c r="E350" s="2944">
        <v>4100</v>
      </c>
      <c r="F350" s="2944">
        <v>800</v>
      </c>
      <c r="G350" s="2944">
        <v>2230</v>
      </c>
      <c r="J350" s="2778"/>
    </row>
    <row r="351" spans="1:10">
      <c r="A351" s="2944" t="s">
        <v>307</v>
      </c>
      <c r="B351" s="2944" t="s">
        <v>2939</v>
      </c>
      <c r="C351" s="2944">
        <v>3610</v>
      </c>
      <c r="D351" s="2944">
        <v>3580</v>
      </c>
      <c r="E351" s="2944">
        <v>3930</v>
      </c>
      <c r="F351" s="2944">
        <v>700</v>
      </c>
      <c r="G351" s="2944">
        <v>2140</v>
      </c>
      <c r="J351" s="2778"/>
    </row>
    <row r="352" spans="1:10">
      <c r="A352" s="2944" t="s">
        <v>307</v>
      </c>
      <c r="B352" s="2944" t="s">
        <v>2944</v>
      </c>
      <c r="C352" s="2944">
        <v>3670</v>
      </c>
      <c r="D352" s="2944">
        <v>3630</v>
      </c>
      <c r="E352" s="2944">
        <v>4000</v>
      </c>
      <c r="F352" s="2944">
        <v>750</v>
      </c>
      <c r="G352" s="2944">
        <v>2180</v>
      </c>
    </row>
    <row r="353" spans="1:7" s="2779" customFormat="1">
      <c r="A353" s="2944" t="s">
        <v>307</v>
      </c>
      <c r="B353" s="2944" t="s">
        <v>3156</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2964</v>
      </c>
      <c r="C355" s="2944">
        <v>3650</v>
      </c>
      <c r="D355" s="2944">
        <v>3610</v>
      </c>
      <c r="E355" s="2944">
        <v>4200</v>
      </c>
      <c r="F355" s="2944">
        <v>640</v>
      </c>
      <c r="G355" s="2944">
        <v>2160</v>
      </c>
    </row>
    <row r="356" spans="1:7" s="2779" customFormat="1">
      <c r="A356" s="2944" t="s">
        <v>307</v>
      </c>
      <c r="B356" s="2944" t="s">
        <v>2971</v>
      </c>
      <c r="C356" s="2944">
        <v>3260</v>
      </c>
      <c r="D356" s="2944">
        <v>3230</v>
      </c>
      <c r="E356" s="2944">
        <v>3740</v>
      </c>
      <c r="F356" s="2944">
        <v>600</v>
      </c>
      <c r="G356" s="2944">
        <v>1930</v>
      </c>
    </row>
    <row r="357" spans="1:7" s="2779" customFormat="1" ht="11.4" thickBot="1">
      <c r="A357" s="2952" t="s">
        <v>307</v>
      </c>
      <c r="B357" s="2955" t="s">
        <v>3157</v>
      </c>
      <c r="C357" s="2955">
        <v>3690</v>
      </c>
      <c r="D357" s="2955">
        <v>3650</v>
      </c>
      <c r="E357" s="2955">
        <v>4020</v>
      </c>
      <c r="F357" s="2955">
        <v>700</v>
      </c>
      <c r="G357" s="2955">
        <v>2190</v>
      </c>
    </row>
    <row r="358" spans="1:7" s="2779" customFormat="1">
      <c r="A358" s="2949" t="s">
        <v>3158</v>
      </c>
      <c r="B358" s="2940" t="s">
        <v>3159</v>
      </c>
      <c r="C358" s="2940">
        <v>2080</v>
      </c>
      <c r="D358" s="2940">
        <v>2040</v>
      </c>
      <c r="E358" s="2940">
        <v>2010</v>
      </c>
      <c r="F358" s="2940">
        <v>530</v>
      </c>
      <c r="G358" s="2956">
        <v>1230</v>
      </c>
    </row>
    <row r="359" spans="1:7" s="2779" customFormat="1">
      <c r="A359" s="2944" t="s">
        <v>3158</v>
      </c>
      <c r="B359" s="2944" t="s">
        <v>3160</v>
      </c>
      <c r="C359" s="2944">
        <v>1850</v>
      </c>
      <c r="D359" s="2944">
        <v>1820</v>
      </c>
      <c r="E359" s="2944">
        <v>1780</v>
      </c>
      <c r="F359" s="2944">
        <v>520</v>
      </c>
      <c r="G359" s="2957">
        <v>1100</v>
      </c>
    </row>
    <row r="360" spans="1:7" s="2779" customFormat="1">
      <c r="A360" s="2944" t="s">
        <v>3158</v>
      </c>
      <c r="B360" s="2944" t="s">
        <v>3161</v>
      </c>
      <c r="C360" s="2944">
        <v>2020</v>
      </c>
      <c r="D360" s="2944">
        <v>1990</v>
      </c>
      <c r="E360" s="2944">
        <v>1950</v>
      </c>
      <c r="F360" s="2944">
        <v>500</v>
      </c>
      <c r="G360" s="2957">
        <v>1200</v>
      </c>
    </row>
    <row r="361" spans="1:7" s="2779" customFormat="1">
      <c r="A361" s="2944" t="s">
        <v>3158</v>
      </c>
      <c r="B361" s="2944" t="s">
        <v>153</v>
      </c>
      <c r="C361" s="2944">
        <v>2260</v>
      </c>
      <c r="D361" s="2944">
        <v>2220</v>
      </c>
      <c r="E361" s="2944">
        <v>2180</v>
      </c>
      <c r="F361" s="2944">
        <v>580</v>
      </c>
      <c r="G361" s="2957">
        <v>1340</v>
      </c>
    </row>
    <row r="362" spans="1:7" s="2779" customFormat="1">
      <c r="A362" s="2944" t="s">
        <v>3158</v>
      </c>
      <c r="B362" s="2944" t="s">
        <v>3162</v>
      </c>
      <c r="C362" s="2944">
        <v>2650</v>
      </c>
      <c r="D362" s="2944">
        <v>2610</v>
      </c>
      <c r="E362" s="2944">
        <v>2570</v>
      </c>
      <c r="F362" s="2944">
        <v>630</v>
      </c>
      <c r="G362" s="2957">
        <v>1570</v>
      </c>
    </row>
    <row r="363" spans="1:7" s="2779" customFormat="1">
      <c r="A363" s="2944" t="s">
        <v>3158</v>
      </c>
      <c r="B363" s="2944" t="s">
        <v>2883</v>
      </c>
      <c r="C363" s="2944">
        <v>2390</v>
      </c>
      <c r="D363" s="2944">
        <v>2360</v>
      </c>
      <c r="E363" s="2944">
        <v>2320</v>
      </c>
      <c r="F363" s="2944">
        <v>600</v>
      </c>
      <c r="G363" s="2957">
        <v>1420</v>
      </c>
    </row>
    <row r="364" spans="1:7" s="2779" customFormat="1">
      <c r="A364" s="2944" t="s">
        <v>3158</v>
      </c>
      <c r="B364" s="2944" t="s">
        <v>3163</v>
      </c>
      <c r="C364" s="2944">
        <v>2050</v>
      </c>
      <c r="D364" s="2944">
        <v>2030</v>
      </c>
      <c r="E364" s="2944">
        <v>1990</v>
      </c>
      <c r="F364" s="2944">
        <v>550</v>
      </c>
      <c r="G364" s="2957">
        <v>1220</v>
      </c>
    </row>
    <row r="365" spans="1:7" s="2779" customFormat="1">
      <c r="A365" s="2944" t="s">
        <v>3158</v>
      </c>
      <c r="B365" s="2944" t="s">
        <v>200</v>
      </c>
      <c r="C365" s="2944">
        <v>2140</v>
      </c>
      <c r="D365" s="2944">
        <v>2100</v>
      </c>
      <c r="E365" s="2944">
        <v>2060</v>
      </c>
      <c r="F365" s="2944">
        <v>540</v>
      </c>
      <c r="G365" s="2957">
        <v>1270</v>
      </c>
    </row>
    <row r="366" spans="1:7" s="2779" customFormat="1">
      <c r="A366" s="2944" t="s">
        <v>3158</v>
      </c>
      <c r="B366" s="2944" t="s">
        <v>2890</v>
      </c>
      <c r="C366" s="2944">
        <v>2410</v>
      </c>
      <c r="D366" s="2944">
        <v>2370</v>
      </c>
      <c r="E366" s="2944">
        <v>2330</v>
      </c>
      <c r="F366" s="2944">
        <v>570</v>
      </c>
      <c r="G366" s="2957">
        <v>1440</v>
      </c>
    </row>
    <row r="367" spans="1:7" s="2779" customFormat="1">
      <c r="A367" s="2944" t="s">
        <v>3158</v>
      </c>
      <c r="B367" s="2944" t="s">
        <v>3164</v>
      </c>
      <c r="C367" s="2944">
        <v>2300</v>
      </c>
      <c r="D367" s="2944">
        <v>2260</v>
      </c>
      <c r="E367" s="2944">
        <v>2220</v>
      </c>
      <c r="F367" s="2944">
        <v>560</v>
      </c>
      <c r="G367" s="2957">
        <v>1370</v>
      </c>
    </row>
    <row r="368" spans="1:7" s="2779" customFormat="1">
      <c r="A368" s="2944" t="s">
        <v>3158</v>
      </c>
      <c r="B368" s="2944" t="s">
        <v>3165</v>
      </c>
      <c r="C368" s="2944">
        <v>2430</v>
      </c>
      <c r="D368" s="2944">
        <v>2390</v>
      </c>
      <c r="E368" s="2944">
        <v>2350</v>
      </c>
      <c r="F368" s="2944">
        <v>570</v>
      </c>
      <c r="G368" s="2957">
        <v>1450</v>
      </c>
    </row>
    <row r="369" spans="1:7" s="2779" customFormat="1">
      <c r="A369" s="2944" t="s">
        <v>3158</v>
      </c>
      <c r="B369" s="2944" t="s">
        <v>214</v>
      </c>
      <c r="C369" s="2944">
        <v>2320</v>
      </c>
      <c r="D369" s="2944">
        <v>2290</v>
      </c>
      <c r="E369" s="2944">
        <v>2250</v>
      </c>
      <c r="F369" s="2944">
        <v>550</v>
      </c>
      <c r="G369" s="2957">
        <v>1380</v>
      </c>
    </row>
    <row r="370" spans="1:7" s="2779" customFormat="1">
      <c r="A370" s="2944" t="s">
        <v>3158</v>
      </c>
      <c r="B370" s="2944" t="s">
        <v>221</v>
      </c>
      <c r="C370" s="2944">
        <v>2190</v>
      </c>
      <c r="D370" s="2944">
        <v>2170</v>
      </c>
      <c r="E370" s="2944">
        <v>2130</v>
      </c>
      <c r="F370" s="2944">
        <v>530</v>
      </c>
      <c r="G370" s="2957">
        <v>1310</v>
      </c>
    </row>
    <row r="371" spans="1:7" s="2779" customFormat="1">
      <c r="A371" s="2944" t="s">
        <v>3158</v>
      </c>
      <c r="B371" s="2944" t="s">
        <v>229</v>
      </c>
      <c r="C371" s="2944">
        <v>2460</v>
      </c>
      <c r="D371" s="2944">
        <v>2420</v>
      </c>
      <c r="E371" s="2944">
        <v>2370</v>
      </c>
      <c r="F371" s="2944">
        <v>560</v>
      </c>
      <c r="G371" s="2957">
        <v>1470</v>
      </c>
    </row>
    <row r="372" spans="1:7" s="2779" customFormat="1">
      <c r="A372" s="2944" t="s">
        <v>3158</v>
      </c>
      <c r="B372" s="2944" t="s">
        <v>3166</v>
      </c>
      <c r="C372" s="2944">
        <v>2250</v>
      </c>
      <c r="D372" s="2944">
        <v>2210</v>
      </c>
      <c r="E372" s="2944">
        <v>2180</v>
      </c>
      <c r="F372" s="2944">
        <v>550</v>
      </c>
      <c r="G372" s="2957">
        <v>1340</v>
      </c>
    </row>
    <row r="373" spans="1:7" s="2779" customFormat="1">
      <c r="A373" s="2944" t="s">
        <v>3158</v>
      </c>
      <c r="B373" s="2944" t="s">
        <v>258</v>
      </c>
      <c r="C373" s="2944">
        <v>2210</v>
      </c>
      <c r="D373" s="2944">
        <v>2190</v>
      </c>
      <c r="E373" s="2944">
        <v>2150</v>
      </c>
      <c r="F373" s="2944">
        <v>530</v>
      </c>
      <c r="G373" s="2957">
        <v>1320</v>
      </c>
    </row>
    <row r="374" spans="1:7" s="2779" customFormat="1">
      <c r="A374" s="2944" t="s">
        <v>3158</v>
      </c>
      <c r="B374" s="2944" t="s">
        <v>266</v>
      </c>
      <c r="C374" s="2944">
        <v>2320</v>
      </c>
      <c r="D374" s="2944">
        <v>2280</v>
      </c>
      <c r="E374" s="2944">
        <v>2230</v>
      </c>
      <c r="F374" s="2944">
        <v>580</v>
      </c>
      <c r="G374" s="2957">
        <v>1380</v>
      </c>
    </row>
    <row r="375" spans="1:7" s="2779" customFormat="1">
      <c r="A375" s="2944" t="s">
        <v>3158</v>
      </c>
      <c r="B375" s="2944" t="s">
        <v>3167</v>
      </c>
      <c r="C375" s="2944">
        <v>2090</v>
      </c>
      <c r="D375" s="2944">
        <v>2050</v>
      </c>
      <c r="E375" s="2944">
        <v>2020</v>
      </c>
      <c r="F375" s="2944">
        <v>520</v>
      </c>
      <c r="G375" s="2957">
        <v>1240</v>
      </c>
    </row>
    <row r="376" spans="1:7" s="2779" customFormat="1">
      <c r="A376" s="2944" t="s">
        <v>3158</v>
      </c>
      <c r="B376" s="2944" t="s">
        <v>277</v>
      </c>
      <c r="C376" s="2944">
        <v>2010</v>
      </c>
      <c r="D376" s="2944">
        <v>1980</v>
      </c>
      <c r="E376" s="2944">
        <v>1940</v>
      </c>
      <c r="F376" s="2944">
        <v>540</v>
      </c>
      <c r="G376" s="2957">
        <v>1190</v>
      </c>
    </row>
    <row r="377" spans="1:7" s="2779" customFormat="1" ht="11.4" thickBot="1">
      <c r="A377" s="2952" t="s">
        <v>3158</v>
      </c>
      <c r="B377" s="2955" t="s">
        <v>2920</v>
      </c>
      <c r="C377" s="2955">
        <v>1930</v>
      </c>
      <c r="D377" s="2955">
        <v>1890</v>
      </c>
      <c r="E377" s="2955">
        <v>1860</v>
      </c>
      <c r="F377" s="2955">
        <v>530</v>
      </c>
      <c r="G377" s="2960">
        <v>1150</v>
      </c>
    </row>
    <row r="378" spans="1:7" s="2779" customFormat="1">
      <c r="A378" s="2961" t="s">
        <v>3168</v>
      </c>
      <c r="B378" s="2940" t="s">
        <v>3169</v>
      </c>
      <c r="C378" s="2940">
        <v>1520</v>
      </c>
      <c r="D378" s="2940">
        <v>1490</v>
      </c>
      <c r="E378" s="2940">
        <v>1460</v>
      </c>
      <c r="F378" s="2940">
        <v>460</v>
      </c>
      <c r="G378" s="2956">
        <v>940</v>
      </c>
    </row>
    <row r="379" spans="1:7" s="2779" customFormat="1">
      <c r="A379" s="2962" t="s">
        <v>3168</v>
      </c>
      <c r="B379" s="2944" t="s">
        <v>3170</v>
      </c>
      <c r="C379" s="2944">
        <v>1500</v>
      </c>
      <c r="D379" s="2944">
        <v>1470</v>
      </c>
      <c r="E379" s="2944">
        <v>1430</v>
      </c>
      <c r="F379" s="2944">
        <v>460</v>
      </c>
      <c r="G379" s="2957">
        <v>920</v>
      </c>
    </row>
    <row r="380" spans="1:7" s="2779" customFormat="1">
      <c r="A380" s="2962" t="s">
        <v>3168</v>
      </c>
      <c r="B380" s="2944" t="s">
        <v>3171</v>
      </c>
      <c r="C380" s="2944">
        <v>1620</v>
      </c>
      <c r="D380" s="2944">
        <v>1590</v>
      </c>
      <c r="E380" s="2944">
        <v>1560</v>
      </c>
      <c r="F380" s="2944">
        <v>480</v>
      </c>
      <c r="G380" s="2957">
        <v>1000</v>
      </c>
    </row>
    <row r="381" spans="1:7" s="2779" customFormat="1">
      <c r="A381" s="2962" t="s">
        <v>3168</v>
      </c>
      <c r="B381" s="2944" t="s">
        <v>3172</v>
      </c>
      <c r="C381" s="2944">
        <v>1460</v>
      </c>
      <c r="D381" s="2944">
        <v>1430</v>
      </c>
      <c r="E381" s="2944">
        <v>1390</v>
      </c>
      <c r="F381" s="2944">
        <v>450</v>
      </c>
      <c r="G381" s="2957">
        <v>900</v>
      </c>
    </row>
    <row r="382" spans="1:7" s="2779" customFormat="1">
      <c r="A382" s="2962" t="s">
        <v>3168</v>
      </c>
      <c r="B382" s="2944" t="s">
        <v>3173</v>
      </c>
      <c r="C382" s="2944">
        <v>1310</v>
      </c>
      <c r="D382" s="2944">
        <v>1280</v>
      </c>
      <c r="E382" s="2944">
        <v>1250</v>
      </c>
      <c r="F382" s="2944">
        <v>440</v>
      </c>
      <c r="G382" s="2957">
        <v>800</v>
      </c>
    </row>
    <row r="383" spans="1:7" s="2779" customFormat="1">
      <c r="A383" s="2962" t="s">
        <v>3168</v>
      </c>
      <c r="B383" s="2944" t="s">
        <v>3174</v>
      </c>
      <c r="C383" s="2944">
        <v>1260</v>
      </c>
      <c r="D383" s="2944">
        <v>1230</v>
      </c>
      <c r="E383" s="2944">
        <v>1200</v>
      </c>
      <c r="F383" s="2944">
        <v>420</v>
      </c>
      <c r="G383" s="2957">
        <v>770</v>
      </c>
    </row>
    <row r="384" spans="1:7" s="2779" customFormat="1" ht="11.4" thickBot="1">
      <c r="A384" s="2963" t="s">
        <v>3168</v>
      </c>
      <c r="B384" s="2951" t="s">
        <v>3175</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45775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1"/>
      <c r="B3" s="3191"/>
      <c r="C3" s="3191"/>
      <c r="D3" s="801" t="s">
        <v>925</v>
      </c>
      <c r="E3" s="801" t="s">
        <v>931</v>
      </c>
      <c r="F3" s="801" t="s">
        <v>925</v>
      </c>
      <c r="G3" s="801" t="s">
        <v>926</v>
      </c>
      <c r="H3" s="801" t="s">
        <v>925</v>
      </c>
      <c r="I3" s="801" t="s">
        <v>926</v>
      </c>
    </row>
    <row r="4" spans="1:9" ht="45">
      <c r="A4" s="1403" t="str">
        <f>项目基本情况!S2</f>
        <v>北京市朝阳区慧忠路5号B1501.B1502.B1503.B1505.B1506.B1507房地产</v>
      </c>
      <c r="B4" s="801">
        <f>项目基本情况!C17</f>
        <v>170.67</v>
      </c>
      <c r="C4" s="801">
        <f>项目基本情况!C18</f>
        <v>0</v>
      </c>
      <c r="D4" s="801">
        <f>结果表!D118</f>
        <v>0</v>
      </c>
      <c r="E4" s="801">
        <f>结果表!E118</f>
        <v>0</v>
      </c>
      <c r="F4" s="801">
        <f>结果表!F118</f>
        <v>0</v>
      </c>
      <c r="G4" s="801">
        <f>结果表!G118</f>
        <v>0</v>
      </c>
      <c r="H4" s="801">
        <f ca="1">结果表!H118</f>
        <v>0</v>
      </c>
      <c r="I4" s="801">
        <f ca="1">结果表!I118</f>
        <v>24020</v>
      </c>
    </row>
    <row r="5" spans="1:9" ht="30" customHeight="1">
      <c r="A5" s="3191" t="s">
        <v>927</v>
      </c>
      <c r="B5" s="3191"/>
      <c r="C5" s="3191"/>
      <c r="D5" s="3191" t="str">
        <f>结果表!D119</f>
        <v>零元整</v>
      </c>
      <c r="E5" s="3191"/>
      <c r="F5" s="3191" t="str">
        <f>结果表!F119</f>
        <v>零元整</v>
      </c>
      <c r="G5" s="3191"/>
      <c r="H5" s="3191" t="str">
        <f ca="1">结果表!H119</f>
        <v>零元整</v>
      </c>
      <c r="I5" s="3191"/>
    </row>
    <row r="6" spans="1:9" ht="15.6">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6">
      <c r="A8" s="3190" t="str">
        <f>结果表!A122</f>
        <v>房地产抵押价值</v>
      </c>
      <c r="B8" s="3190"/>
      <c r="C8" s="3190"/>
      <c r="D8" s="3190">
        <f ca="1">结果表!D122</f>
        <v>0</v>
      </c>
      <c r="E8" s="3190"/>
      <c r="F8" s="3190"/>
      <c r="G8" s="3190"/>
      <c r="H8" s="3190"/>
      <c r="I8" s="3190"/>
    </row>
    <row r="9" spans="1:9" ht="15">
      <c r="A9" s="3191" t="s">
        <v>927</v>
      </c>
      <c r="B9" s="3191"/>
      <c r="C9" s="3191"/>
      <c r="D9" s="3191" t="str">
        <f ca="1">结果表!D123</f>
        <v>零元整</v>
      </c>
      <c r="E9" s="3191"/>
      <c r="F9" s="3191"/>
      <c r="G9" s="3191"/>
      <c r="H9" s="3191"/>
      <c r="I9" s="3191"/>
    </row>
    <row r="10" spans="1:9" ht="15.6">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6">
      <c r="A12" s="3190" t="str">
        <f>结果表!A126</f>
        <v>抵押净值</v>
      </c>
      <c r="B12" s="3190"/>
      <c r="C12" s="3190"/>
      <c r="D12" s="3190">
        <f ca="1">结果表!D126</f>
        <v>1246.5889</v>
      </c>
      <c r="E12" s="3190"/>
      <c r="F12" s="3190"/>
      <c r="G12" s="3190"/>
      <c r="H12" s="3190"/>
      <c r="I12" s="3190"/>
    </row>
    <row r="13" spans="1:9" ht="15.6" thickBot="1">
      <c r="A13" s="3188" t="s">
        <v>927</v>
      </c>
      <c r="B13" s="3188"/>
      <c r="C13" s="3188"/>
      <c r="D13" s="3188" t="str">
        <f ca="1">结果表!D127</f>
        <v>壹仟贰佰肆拾陆万伍仟捌佰捌拾玖元整</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2134</v>
      </c>
      <c r="B2" s="2156">
        <f ca="1">TODAY()</f>
        <v>45776</v>
      </c>
      <c r="C2" s="2157" t="s">
        <v>2135</v>
      </c>
      <c r="D2" s="2157"/>
      <c r="E2" s="2157"/>
      <c r="F2" s="2153"/>
      <c r="G2" s="2153"/>
      <c r="H2" s="2153"/>
    </row>
    <row r="3" spans="1:8" ht="24" customHeight="1">
      <c r="A3" s="2158" t="s">
        <v>2136</v>
      </c>
      <c r="B3" s="1219" t="s">
        <v>2137</v>
      </c>
      <c r="C3" s="1219" t="s">
        <v>2138</v>
      </c>
      <c r="D3" s="2159" t="s">
        <v>2139</v>
      </c>
      <c r="E3" s="2160" t="s">
        <v>2140</v>
      </c>
      <c r="F3" s="1219" t="s">
        <v>2141</v>
      </c>
      <c r="G3" s="1219" t="s">
        <v>2138</v>
      </c>
      <c r="H3" s="2159" t="s">
        <v>2142</v>
      </c>
    </row>
    <row r="4" spans="1:8" ht="24" customHeight="1">
      <c r="A4" s="1219" t="s">
        <v>2143</v>
      </c>
      <c r="B4" s="1219">
        <f ca="1">IF(C4&lt;B2,"已过期",1119970066)</f>
        <v>1119970066</v>
      </c>
      <c r="C4" s="2161">
        <v>45937</v>
      </c>
      <c r="D4" s="2162" t="str">
        <f ca="1">A4&amp;"（注册号："&amp;B4&amp;"）"</f>
        <v>梁津（注册号：1119970066）</v>
      </c>
      <c r="E4" s="2163" t="s">
        <v>2143</v>
      </c>
      <c r="F4" s="1219">
        <f ca="1">IF(G4&lt;B2,"已过期",96010014)</f>
        <v>96010014</v>
      </c>
      <c r="G4" s="2164">
        <v>47118</v>
      </c>
      <c r="H4" s="2165" t="str">
        <f ca="1">E4&amp;"（注册号："&amp;F4&amp;"）"</f>
        <v>梁津（注册号：96010014）</v>
      </c>
    </row>
    <row r="5" spans="1:8" ht="24" customHeight="1">
      <c r="A5" s="1219" t="s">
        <v>2144</v>
      </c>
      <c r="B5" s="1219">
        <f ca="1">IF(C5&lt;B2,"已过期",1119970111)</f>
        <v>1119970111</v>
      </c>
      <c r="C5" s="2161">
        <v>45937</v>
      </c>
      <c r="D5" s="2162" t="str">
        <f t="shared" ref="D5:D15" ca="1" si="0">A5&amp;"（注册号："&amp;B5&amp;"）"</f>
        <v>叶凌（注册号：1119970111）</v>
      </c>
      <c r="E5" s="2163" t="s">
        <v>2144</v>
      </c>
      <c r="F5" s="1219">
        <f ca="1">IF(G5&lt;B2,"已过期",94010078)</f>
        <v>94010078</v>
      </c>
      <c r="G5" s="2164">
        <v>46387</v>
      </c>
      <c r="H5" s="2165" t="str">
        <f t="shared" ref="H5:H16" ca="1" si="1">E5&amp;"（注册号："&amp;F5&amp;"）"</f>
        <v>叶凌（注册号：94010078）</v>
      </c>
    </row>
    <row r="6" spans="1:8" ht="24" customHeight="1">
      <c r="A6" s="1219" t="s">
        <v>2145</v>
      </c>
      <c r="B6" s="1219" t="str">
        <f ca="1">IF(C6&lt;B2,"已过期",1120050019)</f>
        <v>已过期</v>
      </c>
      <c r="C6" s="2161">
        <v>45410</v>
      </c>
      <c r="D6" s="2162" t="str">
        <f t="shared" ca="1" si="0"/>
        <v>王鹏（注册号：已过期）</v>
      </c>
      <c r="E6" s="2163" t="s">
        <v>2145</v>
      </c>
      <c r="F6" s="1219">
        <f ca="1">IF(G6&lt;B2,"已过期",2002110030)</f>
        <v>2002110030</v>
      </c>
      <c r="G6" s="2164">
        <v>46387</v>
      </c>
      <c r="H6" s="2165" t="str">
        <f t="shared" ca="1" si="1"/>
        <v>王鹏（注册号：2002110030）</v>
      </c>
    </row>
    <row r="7" spans="1:8" ht="24" customHeight="1">
      <c r="A7" s="1219" t="s">
        <v>2146</v>
      </c>
      <c r="B7" s="1219">
        <f ca="1">IF(C7&lt;B2,"已过期",1120000080)</f>
        <v>1120000080</v>
      </c>
      <c r="C7" s="2161">
        <v>45937</v>
      </c>
      <c r="D7" s="2162" t="str">
        <f t="shared" ca="1" si="0"/>
        <v>欧红伟（注册号：1120000080）</v>
      </c>
      <c r="E7" s="2163" t="s">
        <v>2146</v>
      </c>
      <c r="F7" s="1219">
        <f ca="1">IF(G7&lt;B2,"已过期",2000110082)</f>
        <v>2000110082</v>
      </c>
      <c r="G7" s="2164">
        <v>46387</v>
      </c>
      <c r="H7" s="2165" t="str">
        <f t="shared" ca="1" si="1"/>
        <v>欧红伟（注册号：2000110082）</v>
      </c>
    </row>
    <row r="8" spans="1:8" ht="24" customHeight="1">
      <c r="A8" s="1219" t="s">
        <v>2147</v>
      </c>
      <c r="B8" s="1219">
        <f ca="1">IF(C8&lt;B2,"已过期",1419970001)</f>
        <v>1419970001</v>
      </c>
      <c r="C8" s="2161">
        <v>45937</v>
      </c>
      <c r="D8" s="2162" t="str">
        <f t="shared" ca="1" si="0"/>
        <v>吴薇（注册号：1419970001）</v>
      </c>
      <c r="E8" s="2163" t="s">
        <v>2147</v>
      </c>
      <c r="F8" s="1219">
        <f ca="1">IF(G8&lt;B2,"已过期",2002110125)</f>
        <v>2002110125</v>
      </c>
      <c r="G8" s="2164">
        <v>47118</v>
      </c>
      <c r="H8" s="2165" t="str">
        <f t="shared" ca="1" si="1"/>
        <v>吴薇（注册号：2002110125）</v>
      </c>
    </row>
    <row r="9" spans="1:8" ht="24" customHeight="1">
      <c r="A9" s="1219" t="s">
        <v>2148</v>
      </c>
      <c r="B9" s="1219" t="str">
        <f ca="1">IF(C9&lt;B2,"已过期",1120060040)</f>
        <v>已过期</v>
      </c>
      <c r="C9" s="2166">
        <v>45592</v>
      </c>
      <c r="D9" s="2162" t="str">
        <f t="shared" ca="1" si="0"/>
        <v>陈颖（注册号：已过期）</v>
      </c>
      <c r="E9" s="2163" t="s">
        <v>2148</v>
      </c>
      <c r="F9" s="1219">
        <f ca="1">IF(G9&lt;B2,"已过期",2004110096)</f>
        <v>2004110096</v>
      </c>
      <c r="G9" s="2164">
        <v>47118</v>
      </c>
      <c r="H9" s="2165" t="str">
        <f t="shared" ca="1" si="1"/>
        <v>陈颖（注册号：2004110096）</v>
      </c>
    </row>
    <row r="10" spans="1:8" ht="24" customHeight="1">
      <c r="A10" s="1219" t="s">
        <v>2149</v>
      </c>
      <c r="B10" s="1219" t="str">
        <f ca="1">IF(C10&lt;B2,"已过期",1120100036)</f>
        <v>已过期</v>
      </c>
      <c r="C10" s="2166">
        <v>45752</v>
      </c>
      <c r="D10" s="2162" t="str">
        <f t="shared" ca="1" si="0"/>
        <v>崔锴（注册号：已过期）</v>
      </c>
      <c r="E10" s="2163" t="s">
        <v>2149</v>
      </c>
      <c r="F10" s="1219">
        <f ca="1">IF(G10&lt;B2,"已过期",2010110070)</f>
        <v>2010110070</v>
      </c>
      <c r="G10" s="2164">
        <v>47907</v>
      </c>
      <c r="H10" s="2165" t="str">
        <f t="shared" ca="1" si="1"/>
        <v>崔锴（注册号：2010110070）</v>
      </c>
    </row>
    <row r="11" spans="1:8" ht="24" customHeight="1">
      <c r="A11" s="1219" t="s">
        <v>2150</v>
      </c>
      <c r="B11" s="1219">
        <f ca="1">IF(C11&lt;B2,"已过期",1120070131)</f>
        <v>1120070131</v>
      </c>
      <c r="C11" s="2161">
        <v>45937</v>
      </c>
      <c r="D11" s="2162" t="str">
        <f t="shared" ca="1" si="0"/>
        <v>郑燚（注册号：1120070131）</v>
      </c>
      <c r="E11" s="2163" t="s">
        <v>2150</v>
      </c>
      <c r="F11" s="1219">
        <f ca="1">IF(G11&lt;B2,"已过期",2014110011)</f>
        <v>2014110011</v>
      </c>
      <c r="G11" s="2164">
        <v>49302</v>
      </c>
      <c r="H11" s="2165" t="str">
        <f t="shared" ca="1" si="1"/>
        <v>郑燚（注册号：2014110011）</v>
      </c>
    </row>
    <row r="12" spans="1:8" ht="24" customHeight="1">
      <c r="A12" s="1219" t="s">
        <v>2151</v>
      </c>
      <c r="B12" s="1219">
        <f ca="1">IF(C12&lt;B2,"已过期",1120040230)</f>
        <v>1120040230</v>
      </c>
      <c r="C12" s="2166">
        <v>45937</v>
      </c>
      <c r="D12" s="2162" t="str">
        <f t="shared" ca="1" si="0"/>
        <v>苏海（注册号：1120040230）</v>
      </c>
      <c r="E12" s="2163" t="s">
        <v>2151</v>
      </c>
      <c r="F12" s="1219">
        <f ca="1">IF(G12&lt;B2,"已过期",98030020)</f>
        <v>98030020</v>
      </c>
      <c r="G12" s="2164">
        <v>47118</v>
      </c>
      <c r="H12" s="2165" t="str">
        <f t="shared" ca="1" si="1"/>
        <v>苏海（注册号：98030020）</v>
      </c>
    </row>
    <row r="13" spans="1:8" ht="24" customHeight="1">
      <c r="A13" s="1219" t="s">
        <v>2152</v>
      </c>
      <c r="B13" s="1219" t="str">
        <f ca="1">IF(C13&lt;B2,"已过期",1120020033)</f>
        <v>已过期</v>
      </c>
      <c r="C13" s="2161">
        <v>45375</v>
      </c>
      <c r="D13" s="2162" t="str">
        <f t="shared" ca="1" si="0"/>
        <v>刘敬东（注册号：已过期）</v>
      </c>
      <c r="E13" s="2163" t="s">
        <v>2152</v>
      </c>
      <c r="F13" s="1219">
        <f ca="1">IF(G13&lt;B2,"已过期",2000110137)</f>
        <v>2000110137</v>
      </c>
      <c r="G13" s="2164">
        <v>46387</v>
      </c>
      <c r="H13" s="2165" t="str">
        <f t="shared" ca="1" si="1"/>
        <v>刘敬东（注册号：2000110137）</v>
      </c>
    </row>
    <row r="14" spans="1:8" ht="24" customHeight="1">
      <c r="A14" s="1219" t="s">
        <v>2153</v>
      </c>
      <c r="B14" s="1219" t="str">
        <f ca="1">IF(C14&lt;B2,"已过期",1119980106)</f>
        <v>已过期</v>
      </c>
      <c r="C14" s="2166">
        <v>44969</v>
      </c>
      <c r="D14" s="2162" t="str">
        <f t="shared" ca="1" si="0"/>
        <v>刘俊财（注册号：已过期）</v>
      </c>
      <c r="E14" s="2163" t="s">
        <v>2153</v>
      </c>
      <c r="F14" s="1219">
        <f ca="1">IF(G14&lt;B2,"已过期",96010063)</f>
        <v>96010063</v>
      </c>
      <c r="G14" s="2164">
        <v>47483</v>
      </c>
      <c r="H14" s="2165" t="str">
        <f t="shared" ca="1" si="1"/>
        <v>刘俊财（注册号：96010063）</v>
      </c>
    </row>
    <row r="15" spans="1:8" ht="24" customHeight="1">
      <c r="A15" s="1219" t="s">
        <v>2432</v>
      </c>
      <c r="B15" s="1219">
        <v>1120210056</v>
      </c>
      <c r="C15" s="2166">
        <v>45410</v>
      </c>
      <c r="D15" s="2162" t="str">
        <f t="shared" si="0"/>
        <v>宁小鳗（注册号：1120210056）</v>
      </c>
      <c r="E15" s="2163" t="s">
        <v>2154</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2155</v>
      </c>
      <c r="B17" s="3214"/>
      <c r="C17" s="3214"/>
      <c r="D17" s="3214"/>
      <c r="E17" s="3214"/>
      <c r="F17" s="3214"/>
      <c r="G17" s="3214"/>
      <c r="H17" s="3214"/>
    </row>
    <row r="18" spans="1:8" ht="24" customHeight="1">
      <c r="A18" s="3215" t="s">
        <v>2156</v>
      </c>
      <c r="B18" s="3215"/>
      <c r="C18" s="3215"/>
      <c r="D18" s="2159"/>
      <c r="E18" s="3216" t="s">
        <v>2157</v>
      </c>
      <c r="F18" s="3215"/>
      <c r="G18" s="3215"/>
    </row>
    <row r="19" spans="1:8" s="2169" customFormat="1" ht="24" customHeight="1">
      <c r="A19" s="2168" t="s">
        <v>2158</v>
      </c>
      <c r="B19" s="1219" t="s">
        <v>2159</v>
      </c>
      <c r="C19" s="1219" t="s">
        <v>2138</v>
      </c>
      <c r="D19" s="2159"/>
      <c r="E19" s="2163" t="s">
        <v>2158</v>
      </c>
      <c r="F19" s="1219" t="s">
        <v>2159</v>
      </c>
      <c r="G19" s="1219" t="s">
        <v>2138</v>
      </c>
    </row>
    <row r="20" spans="1:8" s="2169" customFormat="1" ht="24" customHeight="1">
      <c r="A20" s="2170" t="s">
        <v>2160</v>
      </c>
      <c r="B20" s="2170" t="s">
        <v>2161</v>
      </c>
      <c r="C20" s="2164">
        <v>45898</v>
      </c>
      <c r="D20" s="2171"/>
      <c r="E20" s="2172" t="s">
        <v>2162</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比较法-办公</vt:lpstr>
      <vt:lpstr>成本法 (元)</vt:lpstr>
      <vt:lpstr>假设开发法</vt:lpstr>
      <vt:lpstr>收益法</vt:lpstr>
      <vt:lpstr>基准地价修正</vt:lpstr>
      <vt:lpstr>典型户型修正 </vt:lpstr>
      <vt:lpstr>面积信息</vt:lpstr>
      <vt:lpstr>项目信息</vt:lpstr>
      <vt:lpstr>售价案例</vt:lpstr>
      <vt:lpstr>租金案例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'!一修多修正项2</vt:lpstr>
      <vt:lpstr>'典型户型修正 '!一修多修正项3</vt:lpstr>
      <vt:lpstr>'典型户型修正 '!一修多修正项4</vt:lpstr>
      <vt:lpstr>'典型户型修正 '!一修多修正项5</vt:lpstr>
      <vt:lpstr>'典型户型修正 '!一修多修正项6</vt:lpstr>
      <vt:lpstr>'典型户型修正 '!一修多修正项7</vt:lpstr>
      <vt:lpstr>'典型户型修正 '!一修多修正项8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2025-04-29T05:52:52Z</dcterms:modified>
</cp:coreProperties>
</file>