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7" i="9" l="1"/>
  <c r="E82" i="39" l="1"/>
  <c r="F82" i="39" s="1"/>
  <c r="G82" i="39" s="1"/>
  <c r="H82" i="39" s="1"/>
  <c r="I82" i="39" s="1"/>
  <c r="J82" i="39" s="1"/>
  <c r="K82" i="39" s="1"/>
  <c r="L82" i="39" s="1"/>
  <c r="M82" i="39" s="1"/>
  <c r="D82" i="39"/>
  <c r="E120" i="39"/>
  <c r="F120" i="39" s="1"/>
  <c r="G120" i="39" s="1"/>
  <c r="D120" i="39"/>
  <c r="E119" i="39"/>
  <c r="F119" i="39" s="1"/>
  <c r="G119" i="39" s="1"/>
  <c r="D119" i="39"/>
  <c r="I13" i="3" l="1"/>
  <c r="D3" i="4"/>
  <c r="U19" i="1" l="1"/>
  <c r="G13" i="39"/>
  <c r="G40" i="39"/>
  <c r="G9" i="39"/>
  <c r="G7" i="39"/>
  <c r="E40" i="39" l="1"/>
  <c r="E9" i="39"/>
  <c r="G35" i="9" l="1"/>
  <c r="K3" i="68" l="1"/>
  <c r="K4" i="68"/>
  <c r="K5" i="68"/>
  <c r="K6" i="68"/>
  <c r="K7" i="68"/>
  <c r="K8" i="68"/>
  <c r="K9" i="68"/>
  <c r="K10" i="68"/>
  <c r="K11" i="68"/>
  <c r="K12" i="68"/>
  <c r="K13" i="68"/>
  <c r="K14" i="68"/>
  <c r="K15" i="68"/>
  <c r="K16" i="68"/>
  <c r="K17" i="68"/>
  <c r="K18" i="68"/>
  <c r="K19" i="68"/>
  <c r="K20" i="68"/>
  <c r="K21" i="68"/>
  <c r="K22" i="68"/>
  <c r="K23" i="68"/>
  <c r="K2" i="68"/>
  <c r="E7" i="39"/>
  <c r="C40" i="39"/>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s="1"/>
  <c r="B41" i="63"/>
  <c r="G5" i="54"/>
  <c r="B34" i="63" s="1"/>
  <c r="E5" i="54"/>
  <c r="B32" i="63" s="1"/>
  <c r="R2" i="54"/>
  <c r="B24" i="63" s="1"/>
  <c r="B49" i="50"/>
  <c r="B5" i="63" s="1"/>
  <c r="B40" i="50"/>
  <c r="B3" i="63" s="1"/>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D24" i="59"/>
  <c r="Q23" i="59"/>
  <c r="P23" i="59"/>
  <c r="O23" i="59"/>
  <c r="N23" i="59"/>
  <c r="Q22" i="59"/>
  <c r="AB22" i="59" s="1"/>
  <c r="P22" i="59"/>
  <c r="O22" i="59"/>
  <c r="Y22" i="59"/>
  <c r="Z22" i="59" s="1"/>
  <c r="N22" i="59"/>
  <c r="X22" i="59" s="1"/>
  <c r="Q21" i="59"/>
  <c r="P21" i="59"/>
  <c r="O21" i="59"/>
  <c r="Y21" i="59" s="1"/>
  <c r="N21" i="59"/>
  <c r="X21" i="59" s="1"/>
  <c r="Q20" i="59"/>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P16" i="59"/>
  <c r="E17" i="59"/>
  <c r="E18" i="59" s="1"/>
  <c r="E19" i="59" s="1"/>
  <c r="U19" i="59" s="1"/>
  <c r="O16" i="59"/>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C13" i="59" s="1"/>
  <c r="N12" i="59"/>
  <c r="X12" i="59" s="1"/>
  <c r="D12" i="59"/>
  <c r="X8" i="59"/>
  <c r="X10" i="59"/>
  <c r="AA8" i="59"/>
  <c r="AA10" i="59"/>
  <c r="Y8" i="59"/>
  <c r="Z8" i="59" s="1"/>
  <c r="Y10" i="59"/>
  <c r="Z10" i="59" s="1"/>
  <c r="Y3" i="59"/>
  <c r="Z3" i="59" s="1"/>
  <c r="AB8" i="59"/>
  <c r="AB10" i="59"/>
  <c r="E13" i="59"/>
  <c r="E14" i="59" s="1"/>
  <c r="E15" i="59" s="1"/>
  <c r="U15" i="59" s="1"/>
  <c r="B34" i="59"/>
  <c r="B35" i="59" s="1"/>
  <c r="S35" i="59" s="1"/>
  <c r="E34" i="59"/>
  <c r="E35" i="59"/>
  <c r="U35" i="59" s="1"/>
  <c r="S51" i="59"/>
  <c r="Z21" i="59"/>
  <c r="AA22" i="59"/>
  <c r="F18" i="59"/>
  <c r="F19" i="59" s="1"/>
  <c r="V19" i="59" s="1"/>
  <c r="F26" i="59"/>
  <c r="F27" i="59" s="1"/>
  <c r="V27" i="59" s="1"/>
  <c r="F30" i="59"/>
  <c r="F31" i="59" s="1"/>
  <c r="V31" i="59" s="1"/>
  <c r="F42" i="59"/>
  <c r="F43" i="59"/>
  <c r="V43" i="59" s="1"/>
  <c r="F46" i="59"/>
  <c r="F47" i="59" s="1"/>
  <c r="V47" i="59" s="1"/>
  <c r="C26" i="59"/>
  <c r="C27" i="59" s="1"/>
  <c r="D25" i="59"/>
  <c r="C30" i="59"/>
  <c r="D30" i="59" s="1"/>
  <c r="D29" i="59"/>
  <c r="C34" i="59"/>
  <c r="C35" i="59" s="1"/>
  <c r="D33" i="59"/>
  <c r="C38" i="59"/>
  <c r="C39" i="59" s="1"/>
  <c r="D37" i="59"/>
  <c r="C46" i="59"/>
  <c r="C47" i="59" s="1"/>
  <c r="D45" i="59"/>
  <c r="N50" i="59"/>
  <c r="B49" i="59"/>
  <c r="N48" i="59" s="1"/>
  <c r="T51" i="59"/>
  <c r="O51" i="59"/>
  <c r="D51" i="59"/>
  <c r="C50" i="59"/>
  <c r="O50" i="59" s="1"/>
  <c r="P51" i="59"/>
  <c r="U51" i="59"/>
  <c r="Q51" i="59"/>
  <c r="C54" i="59"/>
  <c r="C53" i="59" s="1"/>
  <c r="D53" i="59" s="1"/>
  <c r="E54" i="59"/>
  <c r="E53" i="59" s="1"/>
  <c r="D55" i="59"/>
  <c r="C58" i="59"/>
  <c r="E58" i="59"/>
  <c r="E57" i="59" s="1"/>
  <c r="D59" i="59"/>
  <c r="C62" i="59"/>
  <c r="D62" i="59" s="1"/>
  <c r="E62" i="59"/>
  <c r="E61" i="59" s="1"/>
  <c r="D63" i="59"/>
  <c r="C66" i="59"/>
  <c r="C70" i="59"/>
  <c r="D70" i="59" s="1"/>
  <c r="U16" i="4"/>
  <c r="S16" i="4"/>
  <c r="Q16" i="4"/>
  <c r="O16" i="4"/>
  <c r="M16" i="4"/>
  <c r="K16" i="4"/>
  <c r="C69" i="59"/>
  <c r="D69" i="59" s="1"/>
  <c r="C61" i="59"/>
  <c r="D61" i="59" s="1"/>
  <c r="D54" i="59"/>
  <c r="C49" i="59"/>
  <c r="O49" i="59" s="1"/>
  <c r="D50" i="59"/>
  <c r="D66" i="59"/>
  <c r="C65" i="59"/>
  <c r="D65" i="59" s="1"/>
  <c r="D58" i="59"/>
  <c r="C57" i="59"/>
  <c r="D57" i="59" s="1"/>
  <c r="N49" i="59"/>
  <c r="D46" i="59"/>
  <c r="D38" i="59"/>
  <c r="D34"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G20" i="20"/>
  <c r="B85" i="46" s="1"/>
  <c r="C22" i="20"/>
  <c r="B65" i="46" s="1"/>
  <c r="S18" i="36"/>
  <c r="S18" i="35"/>
  <c r="S21" i="37"/>
  <c r="C31" i="39"/>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F42" i="39" s="1"/>
  <c r="B106" i="39"/>
  <c r="D99" i="39"/>
  <c r="E99" i="39" s="1"/>
  <c r="F99" i="39" s="1"/>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2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AZ300" i="3" s="1"/>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53" i="3"/>
  <c r="AZ257"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AZ322" i="3"/>
  <c r="AA36" i="35"/>
  <c r="H11" i="37"/>
  <c r="AB11" i="37" s="1"/>
  <c r="W37" i="37"/>
  <c r="AA30" i="33"/>
  <c r="S42" i="33"/>
  <c r="U32" i="33"/>
  <c r="AB17" i="37"/>
  <c r="AZ524" i="3"/>
  <c r="AC29" i="33"/>
  <c r="AA45" i="33"/>
  <c r="AC11" i="36"/>
  <c r="AC10" i="36"/>
  <c r="AC14" i="37"/>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H23" i="40"/>
  <c r="U23" i="40" s="1"/>
  <c r="H41" i="40"/>
  <c r="AB41" i="40" s="1"/>
  <c r="F41" i="40"/>
  <c r="AA41" i="40" s="1"/>
  <c r="J41" i="40"/>
  <c r="H36" i="33"/>
  <c r="AB36" i="33" s="1"/>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c r="J14" i="40"/>
  <c r="W14" i="40"/>
  <c r="H42" i="40"/>
  <c r="H40" i="40"/>
  <c r="U40" i="40" s="1"/>
  <c r="H34" i="40"/>
  <c r="U34" i="40" s="1"/>
  <c r="AZ391" i="3"/>
  <c r="AZ407" i="3"/>
  <c r="AZ423" i="3"/>
  <c r="AZ431" i="3"/>
  <c r="AZ439" i="3"/>
  <c r="B41" i="1"/>
  <c r="J42" i="40"/>
  <c r="AC42" i="40" s="1"/>
  <c r="J40" i="40"/>
  <c r="AC40" i="40" s="1"/>
  <c r="J34" i="40"/>
  <c r="AC34" i="40" s="1"/>
  <c r="H16" i="40"/>
  <c r="AB16" i="40" s="1"/>
  <c r="H14" i="40"/>
  <c r="U14" i="40" s="1"/>
  <c r="F32" i="40"/>
  <c r="AA32" i="40" s="1"/>
  <c r="AZ433" i="3"/>
  <c r="AZ441" i="3"/>
  <c r="AZ444" i="3"/>
  <c r="M1" i="46"/>
  <c r="M6" i="46"/>
  <c r="M10" i="46"/>
  <c r="N2" i="46"/>
  <c r="N5" i="46"/>
  <c r="F58" i="46"/>
  <c r="F47" i="46"/>
  <c r="H49" i="46" s="1"/>
  <c r="N7" i="46"/>
  <c r="AZ461" i="3"/>
  <c r="AZ466" i="3"/>
  <c r="AZ477" i="3"/>
  <c r="AZ207" i="3"/>
  <c r="AZ212" i="3"/>
  <c r="AZ223" i="3"/>
  <c r="AZ228" i="3"/>
  <c r="AZ239" i="3"/>
  <c r="AZ244" i="3"/>
  <c r="AZ255" i="3"/>
  <c r="AZ260" i="3"/>
  <c r="AZ273" i="3"/>
  <c r="AZ276" i="3"/>
  <c r="AZ289" i="3"/>
  <c r="AZ292" i="3"/>
  <c r="AZ124" i="3"/>
  <c r="AZ140" i="3"/>
  <c r="M7" i="46"/>
  <c r="M11" i="46"/>
  <c r="N3" i="46"/>
  <c r="N6" i="46"/>
  <c r="N10" i="46"/>
  <c r="AZ167" i="3"/>
  <c r="AZ180" i="3"/>
  <c r="AZ24" i="3"/>
  <c r="AZ40" i="3"/>
  <c r="AZ56" i="3"/>
  <c r="AZ63" i="3"/>
  <c r="AZ79" i="3"/>
  <c r="AZ99" i="3"/>
  <c r="AZ107" i="3"/>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U11" i="39"/>
  <c r="AB38" i="39"/>
  <c r="S38" i="39"/>
  <c r="S22" i="31"/>
  <c r="M20" i="15"/>
  <c r="D96" i="9"/>
  <c r="F28" i="15"/>
  <c r="M18" i="15"/>
  <c r="BA16" i="3"/>
  <c r="BA17" i="3"/>
  <c r="AZ17" i="3" s="1"/>
  <c r="F3" i="35"/>
  <c r="K1" i="43"/>
  <c r="K1" i="12"/>
  <c r="G1" i="44"/>
  <c r="I4" i="6"/>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C51" i="10"/>
  <c r="A9" i="51" s="1"/>
  <c r="B9" i="63" s="1"/>
  <c r="H58" i="46"/>
  <c r="H61" i="46"/>
  <c r="H62" i="46"/>
  <c r="H75"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E52" i="37" s="1"/>
  <c r="F52" i="37" s="1"/>
  <c r="G52" i="37" s="1"/>
  <c r="F7" i="33"/>
  <c r="S7" i="33" s="1"/>
  <c r="J7" i="33"/>
  <c r="W7" i="33" s="1"/>
  <c r="C67" i="40"/>
  <c r="D65" i="40"/>
  <c r="D67" i="40" s="1"/>
  <c r="P24" i="46"/>
  <c r="B68" i="40" s="1"/>
  <c r="P25" i="46"/>
  <c r="B73" i="39" s="1"/>
  <c r="P23" i="46"/>
  <c r="P21" i="46"/>
  <c r="P22" i="46"/>
  <c r="H7" i="33"/>
  <c r="U7" i="33" s="1"/>
  <c r="C72" i="39"/>
  <c r="D70" i="39"/>
  <c r="D72"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H31" i="39" s="1"/>
  <c r="S45" i="39"/>
  <c r="AB43" i="39"/>
  <c r="AC46" i="39"/>
  <c r="W36" i="39"/>
  <c r="W16" i="39"/>
  <c r="S15" i="39"/>
  <c r="W45" i="39"/>
  <c r="S41" i="39"/>
  <c r="AA46" i="39"/>
  <c r="W10" i="39"/>
  <c r="W11"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F48" i="35"/>
  <c r="G48" i="35" s="1"/>
  <c r="H48" i="35" s="1"/>
  <c r="I48" i="35" s="1"/>
  <c r="J48" i="35" s="1"/>
  <c r="E70" i="39"/>
  <c r="E72" i="39" s="1"/>
  <c r="AC7" i="33"/>
  <c r="V48" i="33" s="1"/>
  <c r="I48" i="33" s="1"/>
  <c r="AB7" i="33"/>
  <c r="T48" i="33" s="1"/>
  <c r="G48" i="33" s="1"/>
  <c r="E65" i="40"/>
  <c r="E67" i="40" s="1"/>
  <c r="AA7" i="33"/>
  <c r="R48" i="33" s="1"/>
  <c r="R49" i="33" s="1"/>
  <c r="E4" i="4"/>
  <c r="J18" i="36"/>
  <c r="AC18" i="36" s="1"/>
  <c r="AE8" i="1"/>
  <c r="AE7" i="1"/>
  <c r="AG6" i="1"/>
  <c r="E29" i="6"/>
  <c r="K15" i="1" s="1"/>
  <c r="L20" i="6"/>
  <c r="L19" i="6"/>
  <c r="B21" i="55"/>
  <c r="B72" i="63" s="1"/>
  <c r="F7" i="21"/>
  <c r="S7" i="21" s="1"/>
  <c r="J7" i="21"/>
  <c r="W7" i="21" s="1"/>
  <c r="H7" i="21"/>
  <c r="U7" i="21" s="1"/>
  <c r="F65" i="40"/>
  <c r="G65" i="40" s="1"/>
  <c r="H65" i="40" s="1"/>
  <c r="S7" i="1"/>
  <c r="S8" i="1"/>
  <c r="S9" i="1"/>
  <c r="AB7" i="21"/>
  <c r="T48" i="21" s="1"/>
  <c r="G48" i="21" s="1"/>
  <c r="AA7" i="21"/>
  <c r="R48" i="21" s="1"/>
  <c r="R49" i="21" s="1"/>
  <c r="G67" i="40"/>
  <c r="R9" i="1"/>
  <c r="R7" i="1"/>
  <c r="R8" i="1"/>
  <c r="C45" i="9"/>
  <c r="H14" i="66" s="1"/>
  <c r="B7" i="66" s="1"/>
  <c r="K31" i="9"/>
  <c r="K32" i="9" s="1"/>
  <c r="N76" i="9"/>
  <c r="C46" i="9"/>
  <c r="K33" i="9" s="1"/>
  <c r="F33" i="44"/>
  <c r="F39" i="44"/>
  <c r="F15" i="44"/>
  <c r="M26" i="15"/>
  <c r="F9" i="15"/>
  <c r="L48" i="15"/>
  <c r="F46" i="44"/>
  <c r="E12" i="67"/>
  <c r="B13" i="67"/>
  <c r="M25" i="44"/>
  <c r="M8" i="15"/>
  <c r="F37" i="44"/>
  <c r="L49" i="44"/>
  <c r="E14" i="67"/>
  <c r="M9" i="15"/>
  <c r="F43" i="15"/>
  <c r="F10" i="44"/>
  <c r="F9" i="67"/>
  <c r="E10" i="67"/>
  <c r="M27" i="15"/>
  <c r="M30" i="44"/>
  <c r="F13" i="67"/>
  <c r="M23" i="15"/>
  <c r="F11" i="67"/>
  <c r="F36" i="15"/>
  <c r="M23" i="44"/>
  <c r="N7" i="65"/>
  <c r="F8" i="44"/>
  <c r="F8" i="15"/>
  <c r="F7" i="15"/>
  <c r="F37" i="15"/>
  <c r="F11" i="44"/>
  <c r="J17" i="44"/>
  <c r="E13" i="67"/>
  <c r="M8" i="44"/>
  <c r="M10" i="44"/>
  <c r="J36" i="15"/>
  <c r="M11" i="44"/>
  <c r="M24" i="44"/>
  <c r="F38" i="44"/>
  <c r="F26" i="15"/>
  <c r="F6" i="15"/>
  <c r="B12" i="67"/>
  <c r="N6" i="65"/>
  <c r="L48" i="44"/>
  <c r="E11" i="67"/>
  <c r="M28" i="15"/>
  <c r="F40" i="15"/>
  <c r="F38" i="15"/>
  <c r="B10" i="67"/>
  <c r="M29" i="44"/>
  <c r="F45" i="44"/>
  <c r="E8" i="67"/>
  <c r="L47" i="15"/>
  <c r="F18" i="44"/>
  <c r="F10" i="67"/>
  <c r="F28" i="44"/>
  <c r="B8" i="67"/>
  <c r="F14" i="67"/>
  <c r="N3" i="65"/>
  <c r="C19" i="44"/>
  <c r="F43" i="44"/>
  <c r="M6" i="15"/>
  <c r="F40" i="44"/>
  <c r="M24" i="15"/>
  <c r="F8" i="67"/>
  <c r="M28" i="44"/>
  <c r="B11" i="67"/>
  <c r="M22" i="15"/>
  <c r="F13" i="15"/>
  <c r="F9" i="44"/>
  <c r="J15" i="15"/>
  <c r="N5" i="65"/>
  <c r="M26" i="44"/>
  <c r="F42" i="15"/>
  <c r="M31" i="44"/>
  <c r="B14" i="67"/>
  <c r="B9" i="67"/>
  <c r="E9" i="67"/>
  <c r="M29" i="15"/>
  <c r="F16" i="15"/>
  <c r="F12" i="67"/>
  <c r="N4" i="65"/>
  <c r="L16" i="4" l="1"/>
  <c r="A9" i="64"/>
  <c r="S40" i="39"/>
  <c r="G103" i="39"/>
  <c r="H29" i="39"/>
  <c r="U29" i="39" s="1"/>
  <c r="J29" i="39"/>
  <c r="AC29" i="39" s="1"/>
  <c r="AC26" i="33"/>
  <c r="W26" i="33"/>
  <c r="S9" i="21"/>
  <c r="AA9" i="21"/>
  <c r="AC7" i="21"/>
  <c r="V48" i="21" s="1"/>
  <c r="I48" i="21" s="1"/>
  <c r="F70" i="39"/>
  <c r="G70" i="39" s="1"/>
  <c r="W18" i="36"/>
  <c r="J31" i="39"/>
  <c r="W31" i="39" s="1"/>
  <c r="E69" i="46"/>
  <c r="B67" i="46" s="1"/>
  <c r="C7" i="46"/>
  <c r="F28" i="6"/>
  <c r="F30" i="6" s="1"/>
  <c r="AZ379" i="3"/>
  <c r="AZ516" i="3"/>
  <c r="AZ562" i="3"/>
  <c r="BA570" i="3"/>
  <c r="AZ570" i="3" s="1"/>
  <c r="BI5" i="3"/>
  <c r="BG5" i="3"/>
  <c r="F12" i="35"/>
  <c r="H36" i="35"/>
  <c r="J36" i="35"/>
  <c r="J23" i="36"/>
  <c r="F26" i="37"/>
  <c r="G564" i="3"/>
  <c r="AZ482" i="3"/>
  <c r="AZ489" i="3"/>
  <c r="AZ513" i="3"/>
  <c r="AZ523" i="3"/>
  <c r="AZ567" i="3"/>
  <c r="AZ338" i="3"/>
  <c r="AZ299" i="3"/>
  <c r="AZ377" i="3"/>
  <c r="U31" i="37"/>
  <c r="AZ492" i="3"/>
  <c r="AZ544" i="3"/>
  <c r="AZ493" i="3"/>
  <c r="AC28" i="33"/>
  <c r="U30" i="33"/>
  <c r="AA38" i="37"/>
  <c r="H5" i="3"/>
  <c r="BL13" i="3"/>
  <c r="BF5" i="3"/>
  <c r="AZ443" i="3"/>
  <c r="AZ478" i="3"/>
  <c r="G568" i="3"/>
  <c r="G553" i="3"/>
  <c r="G548" i="3"/>
  <c r="G541" i="3"/>
  <c r="G533" i="3"/>
  <c r="G527" i="3"/>
  <c r="G519" i="3"/>
  <c r="G509" i="3"/>
  <c r="G503" i="3"/>
  <c r="G495" i="3"/>
  <c r="G486" i="3"/>
  <c r="G14" i="3"/>
  <c r="C92" i="9"/>
  <c r="G17" i="46"/>
  <c r="C16" i="46" s="1"/>
  <c r="C5" i="46" s="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AZ256" i="3"/>
  <c r="AZ144" i="3"/>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G130" i="3"/>
  <c r="BA132" i="3"/>
  <c r="AZ132" i="3" s="1"/>
  <c r="G135" i="3"/>
  <c r="BL137" i="3"/>
  <c r="AZ137" i="3" s="1"/>
  <c r="BA139" i="3"/>
  <c r="AZ139" i="3" s="1"/>
  <c r="AZ186" i="3"/>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O13" i="1" s="1"/>
  <c r="P13" i="1" s="1"/>
  <c r="K100" i="46"/>
  <c r="C14" i="59"/>
  <c r="D13" i="59"/>
  <c r="C22" i="59"/>
  <c r="D21" i="59"/>
  <c r="D41" i="59"/>
  <c r="C42" i="59"/>
  <c r="D27" i="59"/>
  <c r="T27" i="59"/>
  <c r="P50" i="59"/>
  <c r="E49" i="59"/>
  <c r="I10" i="57"/>
  <c r="S21" i="21"/>
  <c r="D49" i="59"/>
  <c r="AB9" i="59"/>
  <c r="AB11" i="59"/>
  <c r="Y11" i="59"/>
  <c r="Z11" i="59" s="1"/>
  <c r="Y9" i="59"/>
  <c r="Z9" i="59" s="1"/>
  <c r="X11" i="59"/>
  <c r="X9" i="59"/>
  <c r="X3" i="59"/>
  <c r="B13" i="59"/>
  <c r="B14" i="59" s="1"/>
  <c r="B15" i="59" s="1"/>
  <c r="S15" i="59" s="1"/>
  <c r="AA12" i="59"/>
  <c r="AA13" i="59"/>
  <c r="Y16" i="59"/>
  <c r="Z16" i="59" s="1"/>
  <c r="AB16" i="59"/>
  <c r="Y17" i="59"/>
  <c r="Z17" i="59" s="1"/>
  <c r="Y19" i="59"/>
  <c r="Z19" i="59" s="1"/>
  <c r="AA21" i="59"/>
  <c r="B26" i="59"/>
  <c r="B27" i="59" s="1"/>
  <c r="S27" i="59" s="1"/>
  <c r="B46" i="59"/>
  <c r="B47" i="59" s="1"/>
  <c r="S47" i="59" s="1"/>
  <c r="F50" i="59"/>
  <c r="T7" i="59"/>
  <c r="S7" i="59"/>
  <c r="L76" i="9"/>
  <c r="C18" i="9"/>
  <c r="AC37" i="39"/>
  <c r="U14" i="39"/>
  <c r="AB33" i="39"/>
  <c r="AB15" i="39"/>
  <c r="U34" i="39"/>
  <c r="S14" i="39"/>
  <c r="E7" i="52"/>
  <c r="C4" i="4" s="1"/>
  <c r="B20" i="55" s="1"/>
  <c r="B70" i="63" s="1"/>
  <c r="G3" i="46"/>
  <c r="D101" i="46" s="1"/>
  <c r="C13" i="39"/>
  <c r="W29" i="39"/>
  <c r="AC33" i="39"/>
  <c r="AC21" i="39"/>
  <c r="AC38" i="39"/>
  <c r="U41" i="39"/>
  <c r="U27" i="39"/>
  <c r="F44" i="39"/>
  <c r="H44" i="39"/>
  <c r="AA42" i="39"/>
  <c r="S42" i="39"/>
  <c r="E124" i="39"/>
  <c r="F124" i="39" s="1"/>
  <c r="G124" i="39" s="1"/>
  <c r="H124" i="39" s="1"/>
  <c r="I124" i="39" s="1"/>
  <c r="J124" i="39" s="1"/>
  <c r="K124" i="39" s="1"/>
  <c r="L124" i="39" s="1"/>
  <c r="M124" i="39" s="1"/>
  <c r="J42" i="39"/>
  <c r="H42" i="39"/>
  <c r="U31" i="39"/>
  <c r="AB31" i="39"/>
  <c r="F31" i="39"/>
  <c r="AA31" i="39" s="1"/>
  <c r="F29" i="39"/>
  <c r="G99" i="39"/>
  <c r="J25" i="39"/>
  <c r="H25" i="39"/>
  <c r="F25" i="39"/>
  <c r="AA25" i="39" s="1"/>
  <c r="H23" i="39"/>
  <c r="F23" i="39"/>
  <c r="S34" i="39"/>
  <c r="W23" i="39"/>
  <c r="B11" i="52"/>
  <c r="B22" i="52"/>
  <c r="AC44" i="39"/>
  <c r="W34" i="39"/>
  <c r="S31" i="39"/>
  <c r="AC31" i="39"/>
  <c r="AB29" i="39"/>
  <c r="S27" i="39"/>
  <c r="W27" i="39"/>
  <c r="S25" i="39"/>
  <c r="G93" i="39"/>
  <c r="F19" i="39" s="1"/>
  <c r="H19" i="39"/>
  <c r="J19" i="39"/>
  <c r="AB21" i="39"/>
  <c r="AC17" i="39"/>
  <c r="W41" i="39"/>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F31" i="15"/>
  <c r="G16" i="1"/>
  <c r="J12" i="39" s="1"/>
  <c r="W12" i="39" s="1"/>
  <c r="E12" i="6"/>
  <c r="E64" i="39" s="1"/>
  <c r="E14" i="6"/>
  <c r="E66" i="39" s="1"/>
  <c r="E13" i="6"/>
  <c r="E65" i="39" s="1"/>
  <c r="E10" i="6"/>
  <c r="E11" i="6"/>
  <c r="E15" i="6"/>
  <c r="BL5" i="3"/>
  <c r="E58" i="39"/>
  <c r="E60" i="40"/>
  <c r="F31" i="6"/>
  <c r="P9" i="1"/>
  <c r="G22" i="46"/>
  <c r="H101" i="46"/>
  <c r="H104" i="46" s="1"/>
  <c r="Y11" i="46"/>
  <c r="Y13" i="46" s="1"/>
  <c r="N16" i="4"/>
  <c r="AP16" i="1"/>
  <c r="F22" i="11" s="1"/>
  <c r="N4" i="63"/>
  <c r="O40" i="9"/>
  <c r="R7" i="54" s="1"/>
  <c r="B52" i="63" s="1"/>
  <c r="E5" i="52"/>
  <c r="B6" i="52"/>
  <c r="B16" i="52"/>
  <c r="B23" i="52"/>
  <c r="E10" i="52"/>
  <c r="E9" i="52"/>
  <c r="B8" i="52"/>
  <c r="B4" i="52"/>
  <c r="B9" i="52"/>
  <c r="B10" i="52"/>
  <c r="B7" i="52"/>
  <c r="E11" i="52"/>
  <c r="I52" i="21"/>
  <c r="J52" i="21" s="1"/>
  <c r="C49" i="33"/>
  <c r="B3" i="33" s="1"/>
  <c r="B2" i="33" s="1"/>
  <c r="C48" i="33"/>
  <c r="I65" i="40"/>
  <c r="H67" i="40"/>
  <c r="C25" i="12"/>
  <c r="C15" i="43"/>
  <c r="C27" i="43"/>
  <c r="C31" i="43"/>
  <c r="C28" i="15"/>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F72" i="39"/>
  <c r="E52" i="33"/>
  <c r="F52" i="33" s="1"/>
  <c r="F7" i="36"/>
  <c r="F7" i="34"/>
  <c r="H105" i="46"/>
  <c r="H109" i="46"/>
  <c r="G30" i="6"/>
  <c r="G31" i="6" s="1"/>
  <c r="E28" i="6"/>
  <c r="O7" i="1"/>
  <c r="P7" i="1" s="1"/>
  <c r="G52" i="33"/>
  <c r="H52" i="33" s="1"/>
  <c r="G53" i="33"/>
  <c r="H53" i="33" s="1"/>
  <c r="I52" i="33"/>
  <c r="J52" i="33" s="1"/>
  <c r="I53" i="33"/>
  <c r="J53" i="33" s="1"/>
  <c r="J12" i="40"/>
  <c r="D21" i="12"/>
  <c r="C21" i="12" s="1"/>
  <c r="D12" i="11"/>
  <c r="C12" i="11" s="1"/>
  <c r="M6" i="1"/>
  <c r="H16" i="1"/>
  <c r="Q16" i="1"/>
  <c r="P10" i="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1" i="3"/>
  <c r="AZ457" i="3"/>
  <c r="AZ470" i="3"/>
  <c r="AZ473" i="3"/>
  <c r="AZ208" i="3"/>
  <c r="AZ211" i="3"/>
  <c r="AZ224" i="3"/>
  <c r="AZ227" i="3"/>
  <c r="AZ240" i="3"/>
  <c r="AZ243" i="3"/>
  <c r="AZ259" i="3"/>
  <c r="A30" i="64"/>
  <c r="A30" i="51"/>
  <c r="B22" i="63" s="1"/>
  <c r="AZ387" i="3"/>
  <c r="AZ219" i="3"/>
  <c r="AZ251" i="3"/>
  <c r="AZ267" i="3"/>
  <c r="AZ271" i="3"/>
  <c r="AZ283" i="3"/>
  <c r="AZ287" i="3"/>
  <c r="AZ133" i="3"/>
  <c r="AZ136" i="3"/>
  <c r="AZ149" i="3"/>
  <c r="AZ160" i="3"/>
  <c r="AZ163" i="3"/>
  <c r="AZ176" i="3"/>
  <c r="AZ182" i="3"/>
  <c r="AZ190" i="3"/>
  <c r="AZ198" i="3"/>
  <c r="AZ204" i="3"/>
  <c r="AZ26" i="3"/>
  <c r="AZ29" i="3"/>
  <c r="AZ36" i="3"/>
  <c r="AZ42" i="3"/>
  <c r="AZ45" i="3"/>
  <c r="AZ57" i="3"/>
  <c r="AZ62" i="3"/>
  <c r="AZ65" i="3"/>
  <c r="AZ68" i="3"/>
  <c r="AZ75" i="3"/>
  <c r="AZ81" i="3"/>
  <c r="AZ85" i="3"/>
  <c r="AZ88" i="3"/>
  <c r="AZ95" i="3"/>
  <c r="AZ101" i="3"/>
  <c r="T47" i="59"/>
  <c r="D47" i="59"/>
  <c r="T39" i="59"/>
  <c r="D39" i="59"/>
  <c r="T35" i="59"/>
  <c r="D35"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M17" i="15"/>
  <c r="F58" i="15"/>
  <c r="M19" i="44"/>
  <c r="J6" i="65"/>
  <c r="J5" i="65"/>
  <c r="I3" i="65"/>
  <c r="J7" i="65"/>
  <c r="I6" i="65"/>
  <c r="I4" i="65"/>
  <c r="I5" i="65"/>
  <c r="J4" i="65"/>
  <c r="I7" i="65"/>
  <c r="C18" i="44"/>
  <c r="C16" i="15"/>
  <c r="J3" i="65"/>
  <c r="K17" i="4" l="1"/>
  <c r="A22" i="51" s="1"/>
  <c r="B16" i="63" s="1"/>
  <c r="J7" i="35"/>
  <c r="W7" i="35" s="1"/>
  <c r="F12" i="39"/>
  <c r="S12" i="39" s="1"/>
  <c r="AC12" i="39"/>
  <c r="F12" i="40"/>
  <c r="S12" i="40" s="1"/>
  <c r="A17" i="51"/>
  <c r="B13" i="63" s="1"/>
  <c r="P48" i="59"/>
  <c r="P49" i="59"/>
  <c r="D42" i="59"/>
  <c r="C43" i="59"/>
  <c r="AZ21" i="3"/>
  <c r="BA5" i="3"/>
  <c r="E27" i="6" s="1"/>
  <c r="AC23" i="36"/>
  <c r="W23" i="36"/>
  <c r="U36" i="35"/>
  <c r="AB36" i="35"/>
  <c r="F49" i="59"/>
  <c r="Q50" i="59"/>
  <c r="D22" i="59"/>
  <c r="C23" i="59"/>
  <c r="D14" i="59"/>
  <c r="C15" i="59"/>
  <c r="AA26" i="37"/>
  <c r="S26" i="37"/>
  <c r="W36" i="35"/>
  <c r="AC36" i="35"/>
  <c r="AA12" i="35"/>
  <c r="S12" i="35"/>
  <c r="G72" i="39"/>
  <c r="H70" i="39"/>
  <c r="D18" i="9"/>
  <c r="M44" i="9" s="1"/>
  <c r="M43" i="9"/>
  <c r="D104" i="46"/>
  <c r="D102" i="46"/>
  <c r="AC11" i="46"/>
  <c r="AC13" i="46" s="1"/>
  <c r="E59" i="40"/>
  <c r="F13" i="39"/>
  <c r="H13" i="39"/>
  <c r="J13" i="39"/>
  <c r="E16" i="6"/>
  <c r="AE11" i="46"/>
  <c r="AE13" i="46" s="1"/>
  <c r="AJ11" i="46"/>
  <c r="AJ13" i="46" s="1"/>
  <c r="AG11" i="46"/>
  <c r="AG13" i="46" s="1"/>
  <c r="M101" i="46"/>
  <c r="J22" i="46"/>
  <c r="AF11" i="46"/>
  <c r="AF13" i="46" s="1"/>
  <c r="E22" i="46"/>
  <c r="I101" i="46"/>
  <c r="H12" i="39"/>
  <c r="U12" i="39" s="1"/>
  <c r="H12" i="40"/>
  <c r="U12" i="40" s="1"/>
  <c r="U44" i="39"/>
  <c r="AB44" i="39"/>
  <c r="S44" i="39"/>
  <c r="AA44" i="39"/>
  <c r="AC42" i="39"/>
  <c r="W42" i="39"/>
  <c r="AB42" i="39"/>
  <c r="U42" i="39"/>
  <c r="AA29" i="39"/>
  <c r="S29" i="39"/>
  <c r="AC25" i="39"/>
  <c r="W25" i="39"/>
  <c r="U25" i="39"/>
  <c r="AB25" i="39"/>
  <c r="AA23" i="39"/>
  <c r="S23" i="39"/>
  <c r="AB23" i="39"/>
  <c r="U23" i="39"/>
  <c r="U19" i="39"/>
  <c r="AB19" i="39"/>
  <c r="W19" i="39"/>
  <c r="AC19" i="39"/>
  <c r="S19" i="39"/>
  <c r="AA19" i="39"/>
  <c r="A25" i="51"/>
  <c r="B18" i="63" s="1"/>
  <c r="B38" i="63"/>
  <c r="A3" i="55"/>
  <c r="B56" i="63" s="1"/>
  <c r="H106" i="46"/>
  <c r="E61" i="40"/>
  <c r="I1" i="65"/>
  <c r="E20" i="46"/>
  <c r="P17" i="46" s="1"/>
  <c r="J1" i="65"/>
  <c r="E62" i="40"/>
  <c r="E67" i="39"/>
  <c r="E58" i="40"/>
  <c r="E63" i="39"/>
  <c r="D109" i="46"/>
  <c r="D103" i="46"/>
  <c r="D106" i="46"/>
  <c r="D107" i="46"/>
  <c r="D105" i="46"/>
  <c r="H102" i="46"/>
  <c r="H103" i="46"/>
  <c r="H107" i="46"/>
  <c r="D22" i="46"/>
  <c r="H7" i="37"/>
  <c r="AB7" i="37" s="1"/>
  <c r="T42" i="37" s="1"/>
  <c r="G42" i="37" s="1"/>
  <c r="AA12" i="40"/>
  <c r="J7" i="37"/>
  <c r="I67" i="40"/>
  <c r="J65" i="40"/>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AA12" i="39"/>
  <c r="W12" i="40"/>
  <c r="AC12" i="40"/>
  <c r="S7" i="34"/>
  <c r="AA7" i="34"/>
  <c r="R49" i="34" s="1"/>
  <c r="F7" i="35"/>
  <c r="F6" i="59"/>
  <c r="F5" i="59" s="1"/>
  <c r="V7" i="59"/>
  <c r="S11" i="59"/>
  <c r="B10" i="59"/>
  <c r="B9" i="59" s="1"/>
  <c r="AZ5" i="3"/>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Q75" i="15"/>
  <c r="Q62" i="15"/>
  <c r="C48" i="15"/>
  <c r="F1" i="15"/>
  <c r="Q53" i="15"/>
  <c r="F1" i="44"/>
  <c r="Q54" i="44"/>
  <c r="M13" i="44"/>
  <c r="J12" i="44" s="1"/>
  <c r="J7" i="44" s="1"/>
  <c r="F11" i="15"/>
  <c r="F13" i="44"/>
  <c r="C12" i="44" s="1"/>
  <c r="C7" i="44" s="1"/>
  <c r="M11" i="15"/>
  <c r="J10" i="15" s="1"/>
  <c r="J5" i="15" s="1"/>
  <c r="Q76" i="44"/>
  <c r="Q63" i="44"/>
  <c r="E2" i="65"/>
  <c r="E3" i="65"/>
  <c r="AE6" i="1"/>
  <c r="C17" i="15"/>
  <c r="AB12" i="39" l="1"/>
  <c r="U7" i="37"/>
  <c r="AB12" i="40"/>
  <c r="Q49" i="59"/>
  <c r="Q48" i="59"/>
  <c r="H72" i="39"/>
  <c r="I70" i="39"/>
  <c r="D15" i="59"/>
  <c r="T15" i="59"/>
  <c r="D23" i="59"/>
  <c r="T23" i="59"/>
  <c r="T43" i="59"/>
  <c r="D43" i="59"/>
  <c r="I105" i="46"/>
  <c r="I106" i="46"/>
  <c r="I102" i="46"/>
  <c r="I107" i="46"/>
  <c r="I104" i="46"/>
  <c r="I103" i="46"/>
  <c r="I109" i="46"/>
  <c r="M102" i="46"/>
  <c r="M107" i="46"/>
  <c r="M106" i="46"/>
  <c r="M103" i="46"/>
  <c r="M109" i="46"/>
  <c r="M104" i="46"/>
  <c r="M105" i="46"/>
  <c r="AB13" i="39"/>
  <c r="U13" i="39"/>
  <c r="AC13" i="39"/>
  <c r="W13" i="39"/>
  <c r="S13" i="39"/>
  <c r="AA13" i="39"/>
  <c r="M17" i="46"/>
  <c r="N17" i="46"/>
  <c r="O17" i="46"/>
  <c r="S16" i="1"/>
  <c r="F17" i="11"/>
  <c r="C17" i="11" s="1"/>
  <c r="C19" i="11" s="1"/>
  <c r="C20" i="11" s="1"/>
  <c r="C21" i="11" s="1"/>
  <c r="C22" i="11" s="1"/>
  <c r="C23" i="11" s="1"/>
  <c r="B2" i="11" s="1"/>
  <c r="B40" i="1"/>
  <c r="F21" i="43" s="1"/>
  <c r="S7" i="46"/>
  <c r="S6" i="46"/>
  <c r="S2" i="46"/>
  <c r="S5" i="46"/>
  <c r="S3" i="46"/>
  <c r="S4" i="46"/>
  <c r="J67" i="40"/>
  <c r="K65" i="40"/>
  <c r="E36" i="36"/>
  <c r="I41" i="36" s="1"/>
  <c r="J41" i="36" s="1"/>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L52" i="44"/>
  <c r="F41" i="15"/>
  <c r="I72" i="39" l="1"/>
  <c r="J70" i="39"/>
  <c r="F26" i="12"/>
  <c r="C27" i="12" s="1"/>
  <c r="D26" i="12" s="1"/>
  <c r="C32" i="12" s="1"/>
  <c r="D30" i="12" s="1"/>
  <c r="F24" i="15"/>
  <c r="C24" i="15" s="1"/>
  <c r="F26" i="44"/>
  <c r="C26" i="44" s="1"/>
  <c r="F68" i="15"/>
  <c r="J29" i="15"/>
  <c r="AC6" i="3"/>
  <c r="H6" i="3"/>
  <c r="L65" i="40"/>
  <c r="K67" i="40"/>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5" i="11"/>
  <c r="B4" i="11"/>
  <c r="C59" i="15"/>
  <c r="C65" i="15"/>
  <c r="C32" i="15"/>
  <c r="C38" i="15"/>
  <c r="C23" i="43"/>
  <c r="D21" i="43" s="1"/>
  <c r="Q67" i="44"/>
  <c r="Q49" i="44"/>
  <c r="Q55" i="44" s="1"/>
  <c r="Q58" i="44"/>
  <c r="C14" i="15"/>
  <c r="C16" i="44"/>
  <c r="J72" i="39" l="1"/>
  <c r="K70" i="39"/>
  <c r="E6" i="3"/>
  <c r="T16" i="1"/>
  <c r="P14" i="1"/>
  <c r="P16" i="1" s="1"/>
  <c r="C13" i="12" s="1"/>
  <c r="C14" i="12" s="1"/>
  <c r="L67" i="40"/>
  <c r="M65" i="40"/>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C17" i="12"/>
  <c r="Q59" i="44"/>
  <c r="Q64" i="44" s="1"/>
  <c r="Q68" i="44"/>
  <c r="Q77" i="44" s="1"/>
  <c r="K72" i="39" l="1"/>
  <c r="L70" i="39"/>
  <c r="R24" i="6"/>
  <c r="H27" i="6"/>
  <c r="D16" i="6"/>
  <c r="D30" i="6"/>
  <c r="R20" i="6"/>
  <c r="C21" i="44"/>
  <c r="C22" i="44" s="1"/>
  <c r="C28" i="44" s="1"/>
  <c r="C18" i="12"/>
  <c r="C23" i="12" s="1"/>
  <c r="C19" i="15"/>
  <c r="C20" i="15" s="1"/>
  <c r="C26" i="15" s="1"/>
  <c r="N65" i="40"/>
  <c r="N67" i="40" s="1"/>
  <c r="M67" i="40"/>
  <c r="H9" i="40"/>
  <c r="F9" i="40"/>
  <c r="J9" i="40"/>
  <c r="R26" i="6"/>
  <c r="D7" i="66"/>
  <c r="D8" i="66"/>
  <c r="R23" i="6"/>
  <c r="R25" i="6"/>
  <c r="R19" i="6"/>
  <c r="D27" i="6"/>
  <c r="D31" i="6" s="1"/>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L72" i="39" l="1"/>
  <c r="M70" i="39"/>
  <c r="R27" i="6"/>
  <c r="R6" i="1"/>
  <c r="C27" i="46"/>
  <c r="C23" i="15"/>
  <c r="C29" i="15" s="1"/>
  <c r="C25" i="44"/>
  <c r="C31" i="44" s="1"/>
  <c r="J21" i="44" s="1"/>
  <c r="J19" i="44" s="1"/>
  <c r="AA9" i="40"/>
  <c r="R44" i="40" s="1"/>
  <c r="S9" i="40"/>
  <c r="W9" i="40"/>
  <c r="AC9" i="40"/>
  <c r="V44" i="40" s="1"/>
  <c r="I44" i="40" s="1"/>
  <c r="U9" i="40"/>
  <c r="AB9" i="40"/>
  <c r="T44" i="40" s="1"/>
  <c r="G44" i="40" s="1"/>
  <c r="E4" i="67"/>
  <c r="C26" i="46"/>
  <c r="C18" i="43"/>
  <c r="I6" i="6"/>
  <c r="I5" i="6"/>
  <c r="F35" i="15"/>
  <c r="E7" i="67"/>
  <c r="M21" i="15"/>
  <c r="M72" i="39" l="1"/>
  <c r="J9" i="39" s="1"/>
  <c r="N70" i="39"/>
  <c r="N72" i="39" s="1"/>
  <c r="H9" i="39"/>
  <c r="F9" i="39"/>
  <c r="J20" i="15"/>
  <c r="F62" i="15"/>
  <c r="C61" i="15" s="1"/>
  <c r="C34" i="15"/>
  <c r="R16" i="1"/>
  <c r="J16" i="44"/>
  <c r="J24" i="44" s="1"/>
  <c r="Q51" i="44"/>
  <c r="C38" i="44"/>
  <c r="C35" i="44"/>
  <c r="C33" i="44" s="1"/>
  <c r="C15" i="44"/>
  <c r="C43" i="44" s="1"/>
  <c r="E44" i="40"/>
  <c r="R45" i="40"/>
  <c r="G49" i="40"/>
  <c r="H49" i="40" s="1"/>
  <c r="G48" i="40"/>
  <c r="H48" i="40" s="1"/>
  <c r="I49" i="40"/>
  <c r="J49" i="40" s="1"/>
  <c r="I48" i="40"/>
  <c r="J48" i="40" s="1"/>
  <c r="E3" i="67"/>
  <c r="J19" i="15"/>
  <c r="J17" i="15" s="1"/>
  <c r="Q50" i="15"/>
  <c r="J14" i="15"/>
  <c r="C33" i="15"/>
  <c r="J59" i="15"/>
  <c r="J60" i="15" s="1"/>
  <c r="C13" i="15"/>
  <c r="C36" i="15"/>
  <c r="C56" i="15"/>
  <c r="C19" i="43"/>
  <c r="C25" i="43" s="1"/>
  <c r="C24" i="43" s="1"/>
  <c r="B2" i="46"/>
  <c r="J15" i="44"/>
  <c r="J25" i="44" s="1"/>
  <c r="B7" i="67"/>
  <c r="AA9" i="39" l="1"/>
  <c r="R49" i="39" s="1"/>
  <c r="S9" i="39"/>
  <c r="AB9" i="39"/>
  <c r="T49" i="39" s="1"/>
  <c r="G49" i="39" s="1"/>
  <c r="U9" i="39"/>
  <c r="AC9" i="39"/>
  <c r="V49" i="39" s="1"/>
  <c r="I49" i="39" s="1"/>
  <c r="I53" i="39" s="1"/>
  <c r="J53" i="39" s="1"/>
  <c r="W9" i="39"/>
  <c r="C31" i="15"/>
  <c r="Q72" i="44"/>
  <c r="C39" i="44"/>
  <c r="C32" i="44" s="1"/>
  <c r="C42" i="44" s="1"/>
  <c r="Q71" i="44" s="1"/>
  <c r="J18" i="44"/>
  <c r="J27" i="44" s="1"/>
  <c r="C22" i="43"/>
  <c r="C21" i="43" s="1"/>
  <c r="C28" i="43" s="1"/>
  <c r="C30" i="43" s="1"/>
  <c r="C32" i="43" s="1"/>
  <c r="B2" i="43" s="1"/>
  <c r="B4" i="43" s="1"/>
  <c r="C45" i="40"/>
  <c r="C44" i="40"/>
  <c r="E49" i="40"/>
  <c r="F49" i="40" s="1"/>
  <c r="E48" i="40"/>
  <c r="F48" i="40" s="1"/>
  <c r="B2" i="67"/>
  <c r="B3" i="46"/>
  <c r="D4" i="46"/>
  <c r="B4" i="46"/>
  <c r="Q49" i="15"/>
  <c r="J22" i="15"/>
  <c r="J13" i="15"/>
  <c r="J23" i="15" s="1"/>
  <c r="C63" i="15"/>
  <c r="C60" i="15"/>
  <c r="C58" i="15" s="1"/>
  <c r="J35" i="15"/>
  <c r="C37" i="15"/>
  <c r="Q71" i="15"/>
  <c r="C55" i="15"/>
  <c r="C64" i="15" s="1"/>
  <c r="C30" i="15" l="1"/>
  <c r="C39" i="15" s="1"/>
  <c r="C40" i="15" s="1"/>
  <c r="G54" i="39"/>
  <c r="H54" i="39" s="1"/>
  <c r="G53" i="39"/>
  <c r="H53" i="39" s="1"/>
  <c r="E49" i="39"/>
  <c r="R50" i="39"/>
  <c r="C44" i="44"/>
  <c r="C45" i="44" s="1"/>
  <c r="B2" i="44" s="1"/>
  <c r="B3" i="44" s="1"/>
  <c r="Q70" i="44"/>
  <c r="B5" i="43"/>
  <c r="B3" i="43"/>
  <c r="J16" i="15"/>
  <c r="J25" i="15"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C57" i="15"/>
  <c r="C66" i="15" s="1"/>
  <c r="C67" i="15" s="1"/>
  <c r="B3" i="67"/>
  <c r="B4" i="67"/>
  <c r="L51" i="15"/>
  <c r="J39" i="15" l="1"/>
  <c r="J40" i="15" s="1"/>
  <c r="Q70" i="15"/>
  <c r="Q69" i="15" s="1"/>
  <c r="E54" i="39"/>
  <c r="F54" i="39" s="1"/>
  <c r="E53" i="39"/>
  <c r="F53" i="39" s="1"/>
  <c r="C49" i="39"/>
  <c r="C50" i="39"/>
  <c r="I54" i="39"/>
  <c r="J54" i="39" s="1"/>
  <c r="B4" i="44"/>
  <c r="B5" i="44"/>
  <c r="B4" i="40"/>
  <c r="B3" i="40"/>
  <c r="B5" i="40"/>
  <c r="L57" i="15"/>
  <c r="L60" i="15" s="1"/>
  <c r="L46" i="15" s="1"/>
  <c r="B2" i="15" s="1"/>
  <c r="Q68" i="15"/>
  <c r="C70" i="15"/>
  <c r="C46" i="15"/>
  <c r="Q57" i="15"/>
  <c r="Q66" i="15"/>
  <c r="Q48" i="15"/>
  <c r="Q54" i="15" s="1"/>
  <c r="C43" i="15"/>
  <c r="J42" i="15"/>
  <c r="J43" i="15" s="1"/>
  <c r="B66" i="39" l="1"/>
  <c r="F66" i="39" s="1"/>
  <c r="B59" i="39"/>
  <c r="F59" i="39" s="1"/>
  <c r="B60" i="39"/>
  <c r="F60" i="39" s="1"/>
  <c r="B64" i="39"/>
  <c r="F64" i="39" s="1"/>
  <c r="B58" i="39"/>
  <c r="F58" i="39" s="1"/>
  <c r="B67" i="39"/>
  <c r="F67" i="39" s="1"/>
  <c r="B61" i="39"/>
  <c r="F61" i="39" s="1"/>
  <c r="B63" i="39"/>
  <c r="F63" i="39" s="1"/>
  <c r="B65" i="39"/>
  <c r="F65" i="39" s="1"/>
  <c r="B62" i="39"/>
  <c r="F62" i="39" s="1"/>
  <c r="B3" i="15"/>
  <c r="C8" i="12" s="1"/>
  <c r="C10" i="12"/>
  <c r="C6" i="12" s="1"/>
  <c r="Q58" i="15"/>
  <c r="Q63" i="15" s="1"/>
  <c r="Q67" i="15"/>
  <c r="Q76" i="15" s="1"/>
  <c r="F68" i="39" l="1"/>
  <c r="B2" i="39" s="1"/>
  <c r="B5" i="39" s="1"/>
  <c r="C24" i="12"/>
  <c r="C29" i="12"/>
  <c r="C19" i="9"/>
  <c r="L43" i="9" l="1"/>
  <c r="B4" i="39"/>
  <c r="B3" i="39"/>
  <c r="C35" i="12"/>
  <c r="C33" i="12" s="1"/>
  <c r="C28" i="12"/>
  <c r="C26" i="12" s="1"/>
  <c r="C31" i="12" s="1"/>
  <c r="C30" i="12" s="1"/>
  <c r="C21" i="9"/>
  <c r="C20" i="9"/>
  <c r="C36" i="12" l="1"/>
  <c r="B2" i="12" s="1"/>
  <c r="D19" i="9"/>
  <c r="L44" i="9" l="1"/>
  <c r="G19" i="9"/>
  <c r="D22" i="9"/>
  <c r="B4" i="12"/>
  <c r="B3" i="12"/>
  <c r="B5" i="12"/>
  <c r="D21" i="9"/>
  <c r="D20" i="9"/>
  <c r="G20" i="9" l="1"/>
  <c r="G21" i="9"/>
  <c r="N43" i="9"/>
  <c r="C32" i="9"/>
  <c r="G22" i="9"/>
  <c r="O43" i="9" l="1"/>
  <c r="C34" i="9"/>
  <c r="C33" i="9"/>
  <c r="C42" i="9"/>
  <c r="C35" i="9"/>
  <c r="F42" i="9" s="1"/>
  <c r="O38" i="9"/>
  <c r="K26" i="9" l="1"/>
  <c r="K25" i="9"/>
  <c r="R5" i="54"/>
  <c r="D14" i="66"/>
  <c r="C44" i="9"/>
  <c r="N68" i="9"/>
  <c r="D63" i="9"/>
  <c r="M38" i="9"/>
  <c r="K27" i="9" s="1"/>
  <c r="E42" i="9"/>
  <c r="P5" i="54" s="1"/>
  <c r="D42" i="9"/>
  <c r="Q5" i="54" s="1"/>
  <c r="N38" i="9"/>
  <c r="K28" i="9" s="1"/>
  <c r="B47" i="63" l="1"/>
  <c r="B46" i="63"/>
  <c r="B48" i="63"/>
  <c r="C103" i="9"/>
  <c r="D77" i="9"/>
  <c r="N75" i="9" s="1"/>
  <c r="C96" i="9"/>
  <c r="C91" i="9" s="1"/>
  <c r="D71" i="9"/>
  <c r="D66" i="9" s="1"/>
  <c r="N72" i="9" s="1"/>
  <c r="C111" i="9"/>
  <c r="C104" i="9" s="1"/>
  <c r="C82" i="9"/>
  <c r="C81" i="9" s="1"/>
  <c r="C85" i="9" s="1"/>
  <c r="C86" i="9" s="1"/>
  <c r="D72" i="9" s="1"/>
  <c r="C90" i="9"/>
  <c r="D70" i="9"/>
  <c r="G14" i="66"/>
  <c r="O39" i="9"/>
  <c r="E44" i="9"/>
  <c r="N69" i="9"/>
  <c r="D44" i="9"/>
  <c r="F44" i="9"/>
  <c r="F14" i="66"/>
  <c r="E14" i="66"/>
  <c r="B5" i="66"/>
  <c r="C97" i="9" l="1"/>
  <c r="B6" i="66"/>
  <c r="D6" i="66" s="1"/>
  <c r="C5" i="66"/>
  <c r="D5" i="66"/>
  <c r="M88" i="9"/>
  <c r="N88" i="9" s="1"/>
  <c r="M83" i="9"/>
  <c r="N83" i="9" s="1"/>
  <c r="M85" i="9"/>
  <c r="N85" i="9" s="1"/>
  <c r="M84" i="9"/>
  <c r="N84" i="9" s="1"/>
  <c r="M86" i="9"/>
  <c r="N86" i="9" s="1"/>
  <c r="M87" i="9"/>
  <c r="N87" i="9" s="1"/>
  <c r="K29" i="9"/>
  <c r="K30" i="9" s="1"/>
  <c r="R6" i="54"/>
  <c r="C98" i="9"/>
  <c r="E98" i="9" s="1"/>
  <c r="E99" i="9" s="1"/>
  <c r="C113" i="9"/>
  <c r="C6" i="66" l="1"/>
  <c r="B50" i="63"/>
  <c r="C99" i="9"/>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<sst xmlns="http://schemas.openxmlformats.org/spreadsheetml/2006/main" count="7101" uniqueCount="3137">
  <si>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</si>
  <si>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</si>
  <si>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</si>
  <si>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</si>
  <si>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</si>
  <si>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</si>
  <si>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</si>
  <si>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</si>
  <si>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</si>
  <si>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</si>
  <si>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</si>
  <si>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</si>
  <si>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</si>
  <si>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</si>
  <si>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</si>
  <si>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</si>
  <si>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</si>
  <si>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</si>
  <si>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</si>
  <si>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</si>
  <si>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</si>
  <si>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</si>
  <si>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</si>
  <si>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</si>
  <si>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</si>
  <si>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</si>
  <si>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</si>
  <si>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</si>
  <si>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</si>
  <si>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</si>
  <si>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</si>
  <si>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</si>
  <si>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</si>
  <si>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</si>
  <si>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</si>
  <si>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</si>
  <si>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</si>
  <si>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</si>
  <si>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</si>
  <si>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</si>
  <si>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</si>
  <si>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</si>
  <si>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</si>
  <si>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</si>
  <si>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</si>
  <si>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</si>
  <si>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</si>
  <si>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</si>
  <si>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</si>
  <si>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</si>
  <si>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</si>
  <si>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</si>
  <si>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</si>
  <si>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</si>
  <si>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</si>
  <si>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</si>
  <si>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</si>
  <si>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</si>
  <si>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</si>
  <si>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</si>
  <si>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</si>
  <si>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</si>
  <si>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</si>
  <si>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</si>
  <si>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</si>
  <si>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</si>
  <si>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</si>
  <si>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</si>
  <si>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</si>
  <si>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</si>
  <si>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</si>
  <si>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</si>
  <si>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</si>
  <si>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</si>
  <si>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</si>
  <si>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</si>
  <si>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</si>
  <si>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</si>
  <si>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</si>
  <si>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</si>
  <si>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</si>
  <si>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</si>
  <si>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</si>
  <si>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</si>
  <si>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</si>
  <si>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</si>
  <si>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</si>
  <si>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</si>
  <si>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</si>
  <si>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</si>
  <si>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</si>
  <si>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</si>
  <si>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</si>
  <si>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</si>
  <si>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</si>
  <si>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</si>
  <si>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</si>
  <si>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</si>
  <si>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</si>
  <si>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</si>
  <si>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</si>
  <si>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</si>
  <si>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</si>
  <si>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</si>
  <si>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</si>
  <si>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</si>
  <si>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</si>
  <si>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</si>
  <si>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</si>
  <si>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</si>
  <si>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</si>
  <si>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</si>
  <si>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</si>
  <si>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</si>
  <si>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</si>
  <si>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</si>
  <si>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</si>
  <si>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</si>
  <si>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</si>
  <si>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</si>
  <si>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</si>
  <si>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</si>
  <si>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</si>
  <si>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</si>
  <si>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</si>
  <si>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</si>
  <si>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</si>
  <si>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</si>
  <si>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</si>
  <si>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</si>
  <si>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</si>
  <si>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</si>
  <si>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</si>
  <si>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</si>
  <si>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</si>
  <si>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</si>
  <si>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</si>
  <si>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</si>
  <si>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</si>
  <si>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</si>
  <si>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</si>
  <si>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</si>
  <si>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</si>
  <si>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</si>
  <si>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</si>
  <si>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</si>
  <si>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</si>
  <si>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</si>
  <si>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</si>
  <si>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</si>
  <si>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</si>
  <si>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</si>
  <si>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</si>
  <si>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</si>
  <si>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</si>
  <si>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</si>
  <si>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</si>
  <si>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</si>
  <si>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</si>
  <si>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</si>
  <si>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</si>
  <si>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</si>
  <si>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</si>
  <si>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</si>
  <si>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</si>
  <si>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</si>
  <si>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</si>
  <si>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</si>
  <si>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</si>
  <si>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</si>
  <si>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</si>
  <si>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</si>
  <si>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</si>
  <si>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</si>
  <si>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</si>
  <si>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</si>
  <si>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</si>
  <si>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</si>
  <si>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</si>
  <si>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</si>
  <si>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</si>
  <si>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</si>
  <si>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</si>
  <si>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</si>
  <si>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</si>
  <si>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</si>
  <si>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</si>
  <si>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</si>
  <si>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</si>
  <si>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</si>
  <si>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</si>
  <si>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</si>
  <si>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</si>
  <si>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</si>
  <si>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</si>
  <si>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</si>
  <si>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</si>
  <si>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</si>
  <si>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</si>
  <si>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</si>
  <si>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</si>
  <si>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</si>
  <si>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</si>
  <si>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</si>
  <si>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</si>
  <si>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</si>
  <si>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</si>
  <si>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</si>
  <si>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</si>
  <si>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</si>
  <si>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</si>
  <si>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</si>
  <si>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</si>
  <si>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</si>
  <si>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</si>
  <si>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</si>
  <si>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</si>
  <si>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</si>
  <si>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</si>
  <si>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</si>
  <si>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</si>
  <si>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</si>
  <si>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</si>
  <si>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</si>
  <si>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</si>
  <si>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</si>
  <si>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</si>
  <si>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</si>
  <si>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</si>
  <si>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</si>
  <si>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</si>
  <si>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</si>
  <si>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</si>
  <si>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</si>
  <si>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</si>
  <si>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</si>
  <si>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</si>
  <si>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</si>
  <si>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</si>
  <si>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</si>
  <si>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</si>
  <si>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</si>
  <si>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</si>
  <si>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</si>
  <si>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</si>
  <si>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</si>
  <si>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</si>
  <si>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</si>
  <si>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</si>
  <si>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</si>
  <si>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</si>
  <si>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</si>
  <si>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</si>
  <si>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</si>
  <si>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</si>
  <si>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</si>
  <si>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</si>
  <si>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</si>
  <si>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</si>
  <si>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</si>
  <si>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</si>
  <si>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</si>
  <si>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</si>
  <si>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</si>
  <si>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</si>
  <si>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</si>
  <si>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</si>
  <si>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</si>
  <si>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</si>
  <si>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</si>
  <si>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</si>
  <si>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</si>
  <si>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</si>
  <si>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</si>
  <si>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</si>
  <si>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</si>
  <si>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</si>
  <si>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</si>
  <si>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</si>
  <si>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</si>
  <si>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</si>
  <si>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</si>
  <si>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</si>
  <si>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</si>
  <si>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</si>
  <si>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</si>
  <si>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</si>
  <si>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</si>
  <si>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</si>
  <si>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</si>
  <si>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</si>
  <si>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</si>
  <si>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</si>
  <si>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</si>
  <si>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</si>
  <si>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</si>
  <si>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</si>
  <si>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</si>
  <si>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</si>
  <si>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</si>
  <si>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</si>
  <si>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</si>
  <si>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</si>
  <si>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</si>
  <si>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</si>
  <si>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</si>
  <si>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</si>
  <si>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</si>
  <si>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</si>
  <si>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</si>
  <si>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</si>
  <si>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</si>
  <si>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</si>
  <si>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</si>
  <si>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</si>
  <si>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</si>
  <si>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</si>
  <si>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</si>
  <si>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</si>
  <si>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</si>
  <si>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</si>
  <si>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</si>
  <si>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</si>
  <si>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</si>
  <si>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</si>
  <si>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</si>
  <si>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</si>
  <si>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</si>
  <si>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</si>
  <si>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</si>
  <si>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</si>
  <si>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</si>
  <si>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</si>
  <si>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</si>
  <si>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</si>
  <si>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</si>
  <si>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</si>
  <si>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</si>
  <si>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</si>
  <si>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</si>
  <si>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</si>
  <si>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</si>
  <si>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</si>
  <si>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</si>
  <si>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</si>
  <si>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</si>
  <si>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</si>
  <si>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</si>
  <si>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</si>
  <si>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</si>
  <si>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</si>
  <si>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</si>
  <si>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</si>
  <si>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</si>
  <si>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</si>
  <si>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</si>
  <si>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</si>
  <si>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</si>
  <si>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</si>
  <si>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</si>
  <si>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</si>
  <si>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</si>
  <si>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</si>
  <si>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</si>
  <si>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</si>
  <si>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</si>
  <si>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</si>
  <si>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</si>
  <si>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</si>
  <si>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</si>
  <si>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</si>
  <si>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</si>
  <si>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</si>
  <si>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</si>
  <si>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</si>
  <si>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</si>
  <si>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</si>
  <si>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</si>
  <si>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</si>
  <si>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</si>
  <si>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</si>
  <si>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</si>
  <si>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</si>
  <si>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</si>
  <si>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</si>
  <si>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</si>
  <si>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</si>
  <si>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</si>
  <si>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</si>
  <si>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</si>
  <si>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</si>
  <si>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</si>
  <si>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</si>
  <si>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</si>
  <si>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</si>
  <si>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</si>
  <si>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</si>
  <si>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</si>
  <si>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</si>
  <si>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</si>
  <si>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</si>
  <si>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</si>
  <si>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</si>
  <si>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</si>
  <si>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</si>
  <si>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</si>
  <si>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</si>
  <si>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</si>
  <si>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</si>
  <si>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</si>
  <si>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</si>
  <si>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</si>
  <si>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</si>
  <si>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</si>
  <si>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</si>
  <si>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</si>
  <si>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</si>
  <si>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</si>
  <si>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</si>
  <si>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</si>
  <si>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</si>
  <si>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</si>
  <si>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</si>
  <si>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</si>
  <si>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</si>
  <si>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</si>
  <si>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</si>
  <si>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</si>
  <si>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</si>
  <si>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</si>
  <si>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</si>
  <si>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</si>
  <si>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</si>
  <si>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</si>
  <si>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</si>
  <si>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</si>
  <si>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</si>
  <si>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</si>
  <si>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</si>
  <si>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</si>
  <si>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</si>
  <si>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</si>
  <si>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</si>
  <si>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</si>
  <si>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</si>
  <si>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</si>
  <si>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</si>
  <si>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</si>
  <si>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</si>
  <si>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</si>
  <si>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</si>
  <si>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</si>
  <si>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</si>
  <si>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</si>
  <si>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</si>
  <si>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</si>
  <si>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</si>
  <si>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</si>
  <si>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</si>
  <si>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</si>
  <si>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</si>
  <si>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</si>
  <si>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</si>
  <si>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</si>
  <si>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</si>
  <si>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</si>
  <si>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</si>
  <si>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</si>
  <si>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</si>
  <si>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</si>
  <si>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</si>
  <si>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</si>
  <si>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</si>
  <si>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</si>
  <si>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</si>
  <si>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</si>
  <si>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</si>
  <si>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</si>
  <si>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</si>
  <si>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</si>
  <si>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</si>
  <si>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</si>
  <si>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</si>
  <si>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</si>
  <si>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</si>
  <si>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</si>
  <si>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</si>
  <si>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</si>
  <si>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</si>
  <si>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</si>
  <si>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</si>
  <si>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</si>
  <si>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</si>
  <si>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</si>
  <si>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</si>
  <si>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</si>
  <si>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</si>
  <si>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</si>
  <si>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</si>
  <si>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</si>
  <si>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</si>
  <si>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</si>
  <si>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</si>
  <si>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</si>
  <si>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</si>
  <si>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</si>
  <si>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</si>
  <si>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</si>
  <si>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</si>
  <si>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</si>
  <si>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</si>
  <si>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</si>
  <si>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</si>
  <si>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</si>
  <si>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</si>
  <si>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</si>
  <si>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</si>
  <si>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</si>
  <si>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</si>
  <si>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</si>
  <si>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</si>
  <si>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</si>
  <si>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</si>
  <si>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</si>
  <si>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</si>
  <si>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</si>
  <si>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</si>
  <si>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</si>
  <si>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</si>
  <si>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</si>
  <si>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</si>
  <si>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</si>
  <si>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</si>
  <si>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</si>
  <si>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</si>
  <si>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</si>
  <si>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</si>
  <si>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</si>
  <si>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</si>
  <si>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</si>
  <si>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</si>
  <si>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</si>
  <si>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</si>
  <si>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</si>
  <si>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</si>
  <si>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</si>
  <si>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</si>
  <si>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</si>
  <si>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</si>
  <si>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</si>
  <si>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</si>
  <si>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</si>
  <si>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</si>
  <si>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</si>
  <si>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</si>
  <si>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</si>
  <si>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</si>
  <si>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</si>
  <si>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</si>
  <si>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</si>
  <si>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</si>
  <si>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</si>
  <si>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</si>
  <si>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</si>
  <si>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</si>
  <si>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</si>
  <si>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</si>
  <si>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</si>
  <si>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</si>
  <si>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</si>
  <si>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</si>
  <si>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</si>
  <si>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</si>
  <si>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</si>
  <si>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</si>
  <si>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</si>
  <si>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</si>
  <si>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</si>
  <si>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</si>
  <si>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</si>
  <si>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</si>
  <si>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</si>
  <si>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</si>
  <si>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</si>
  <si>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</si>
  <si>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</si>
  <si>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</si>
  <si>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</si>
  <si>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</si>
  <si>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</si>
  <si>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</si>
  <si>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</si>
  <si>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</si>
  <si>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</si>
  <si>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</si>
  <si>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</si>
  <si>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</si>
  <si>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</si>
  <si>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</si>
  <si>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</si>
  <si>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</si>
  <si>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</si>
  <si>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</si>
  <si>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</si>
  <si>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</si>
  <si>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</si>
  <si>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</si>
  <si>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</si>
  <si>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</si>
  <si>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</si>
  <si>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</si>
  <si>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</si>
  <si>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</si>
  <si>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</si>
  <si>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</si>
  <si>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</si>
  <si>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</si>
  <si>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</si>
  <si>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</si>
  <si>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</si>
  <si>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</si>
  <si>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</si>
  <si>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</si>
  <si>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</si>
  <si>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</si>
  <si>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</si>
  <si>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</si>
  <si>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</si>
  <si>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</si>
  <si>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</si>
  <si>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</si>
  <si>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</si>
  <si>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</si>
  <si>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</si>
  <si>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</si>
  <si>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</si>
  <si>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</si>
  <si>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</si>
  <si>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</si>
  <si>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</si>
  <si>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</si>
  <si>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</si>
  <si>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</si>
  <si>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</si>
  <si>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</si>
  <si>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</si>
  <si>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</si>
  <si>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</si>
  <si>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</si>
  <si>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</si>
  <si>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</si>
  <si>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</si>
  <si>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</si>
  <si>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</si>
  <si>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</si>
  <si>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</si>
  <si>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</si>
  <si>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</si>
  <si>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</si>
  <si>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</si>
  <si>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</si>
  <si>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</si>
  <si>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</si>
  <si>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</si>
  <si>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</si>
  <si>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</si>
  <si>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</si>
  <si>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</si>
  <si>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</si>
  <si>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</si>
  <si>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</si>
  <si>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</si>
  <si>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</si>
  <si>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</si>
  <si>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</si>
  <si>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</si>
  <si>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</si>
  <si>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</si>
  <si>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</si>
  <si>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</si>
  <si>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</si>
  <si>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</si>
  <si>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</si>
  <si>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</si>
  <si>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</si>
  <si>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</si>
  <si>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</si>
  <si>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</si>
  <si>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</si>
  <si>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</si>
  <si>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</si>
  <si>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</si>
  <si>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</si>
  <si>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</si>
  <si>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</si>
  <si>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</si>
  <si>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</si>
  <si>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</si>
  <si>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</si>
  <si>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</si>
  <si>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</si>
  <si>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</si>
  <si>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</si>
  <si>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</si>
  <si>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</si>
  <si>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</si>
  <si>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</si>
  <si>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</si>
  <si>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</si>
  <si>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</si>
  <si>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</si>
  <si>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</si>
  <si>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</si>
  <si>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</si>
  <si>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</si>
  <si>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</si>
  <si>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</si>
  <si>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</si>
  <si>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</si>
  <si>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</si>
  <si>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</si>
  <si>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</si>
  <si>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</si>
  <si>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</si>
  <si>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</si>
  <si>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</si>
  <si>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</si>
  <si>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</si>
  <si>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</si>
  <si>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</si>
  <si>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</si>
  <si>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</si>
  <si>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</si>
  <si>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</si>
  <si>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</si>
  <si>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</si>
  <si>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</si>
  <si>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</si>
  <si>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</si>
  <si>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</si>
  <si>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</si>
  <si>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</si>
  <si>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</si>
  <si>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</si>
  <si>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</si>
  <si>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</si>
  <si>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</si>
  <si>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</si>
  <si>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</si>
  <si>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</si>
  <si>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</si>
  <si>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</si>
  <si>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</si>
  <si>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</si>
  <si>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</si>
  <si>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</si>
  <si>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</si>
  <si>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</si>
  <si>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</si>
  <si>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</si>
  <si>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</si>
  <si>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</si>
  <si>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</si>
  <si>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</si>
  <si>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</si>
  <si>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</si>
  <si>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</si>
  <si>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</si>
  <si>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</si>
  <si>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</si>
  <si>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</si>
  <si>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</si>
  <si>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</si>
  <si>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</si>
  <si>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</si>
  <si>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</si>
  <si>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</si>
  <si>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</si>
  <si>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</si>
  <si>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</si>
  <si>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</si>
  <si>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</si>
  <si>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</si>
  <si>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</si>
  <si>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</si>
  <si>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</si>
  <si>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</si>
  <si>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</si>
  <si>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</si>
  <si>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</si>
  <si>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</si>
  <si>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</si>
  <si>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</si>
  <si>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</si>
  <si>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</si>
  <si>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</si>
  <si>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</si>
  <si>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</si>
  <si>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</si>
  <si>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</si>
  <si>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</si>
  <si>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</si>
  <si>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</si>
  <si>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</si>
  <si>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</si>
  <si>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</si>
  <si>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</si>
  <si>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</si>
  <si>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</si>
  <si>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</si>
  <si>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</si>
  <si>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</si>
  <si>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</si>
  <si>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</si>
  <si>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</si>
  <si>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</si>
  <si>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</si>
  <si>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</si>
  <si>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</si>
  <si>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</si>
  <si>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</si>
  <si>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</si>
  <si>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</si>
  <si>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</si>
  <si>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</si>
  <si>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</si>
  <si>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</si>
  <si>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</si>
  <si>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</si>
  <si>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</si>
  <si>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</si>
  <si>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</si>
  <si>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</si>
  <si>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</si>
  <si>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</si>
  <si>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</si>
  <si>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</si>
  <si>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</si>
  <si>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</si>
  <si>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</si>
  <si>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</si>
  <si>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</si>
  <si>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</si>
  <si>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</si>
  <si>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</si>
  <si>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</si>
  <si>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</si>
  <si>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</si>
  <si>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</si>
  <si>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</si>
  <si>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</si>
  <si>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</si>
  <si>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</si>
  <si>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</si>
  <si>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</si>
  <si>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</si>
  <si>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</si>
  <si>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</si>
  <si>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</si>
  <si>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</si>
  <si>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</si>
  <si>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</si>
  <si>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</si>
  <si>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</si>
  <si>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</si>
  <si>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</si>
  <si>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</si>
  <si>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</si>
  <si>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</si>
  <si>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</si>
  <si>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</si>
  <si>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</si>
  <si>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</si>
  <si>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</si>
  <si>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</si>
  <si>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</si>
  <si>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</si>
  <si>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</si>
  <si>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</si>
  <si>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</si>
  <si>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</si>
  <si>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</si>
  <si>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</si>
  <si>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</si>
  <si>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</si>
  <si>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</si>
  <si>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</si>
  <si>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</si>
  <si>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</si>
  <si>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</si>
  <si>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</si>
  <si>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</si>
  <si>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</si>
  <si>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</si>
  <si>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</si>
  <si>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</si>
  <si>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</si>
  <si>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</si>
  <si>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</si>
  <si>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</si>
  <si>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</si>
  <si>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</si>
  <si>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</si>
  <si>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</si>
  <si>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</si>
  <si>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</si>
  <si>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</si>
  <si>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</si>
  <si>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</si>
  <si>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</si>
  <si>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</si>
  <si>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</si>
  <si>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</si>
  <si>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</si>
  <si>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</si>
  <si>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</si>
  <si>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</si>
  <si>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</si>
  <si>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</si>
  <si>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</si>
  <si>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</si>
  <si>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</si>
  <si>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</si>
  <si>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</si>
  <si>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</si>
  <si>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</si>
  <si>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</si>
  <si>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</si>
  <si>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</si>
  <si>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</si>
  <si>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</si>
  <si>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</si>
  <si>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</si>
  <si>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</si>
  <si>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</si>
  <si>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</si>
  <si>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</si>
  <si>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</si>
  <si>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</si>
  <si>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</si>
  <si>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</si>
  <si>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</si>
  <si>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</si>
  <si>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</si>
  <si>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</si>
  <si>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</si>
  <si>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</si>
  <si>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</si>
  <si>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</si>
  <si>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</si>
  <si>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</si>
  <si>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</si>
  <si>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</si>
  <si>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</si>
  <si>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</si>
  <si>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</si>
  <si>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</si>
  <si>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</si>
  <si>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</si>
  <si>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</si>
  <si>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</si>
  <si>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</si>
  <si>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</si>
  <si>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</si>
  <si>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</si>
  <si>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</si>
  <si>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</si>
  <si>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</si>
  <si>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</si>
  <si>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</si>
  <si>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</si>
  <si>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</si>
  <si>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</si>
  <si>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</si>
  <si>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</si>
  <si>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</si>
  <si>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</si>
  <si>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</si>
  <si>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</si>
  <si>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</si>
  <si>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</si>
  <si>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</si>
  <si>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</si>
  <si>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</si>
  <si>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</si>
  <si>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</si>
  <si>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</si>
  <si>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</si>
  <si>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</si>
  <si>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</si>
  <si>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</si>
  <si>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</si>
  <si>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</si>
  <si>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</si>
  <si>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</si>
  <si>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</si>
  <si>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</si>
  <si>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</si>
  <si>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</si>
  <si>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</si>
  <si>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</si>
  <si>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</si>
  <si>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</si>
  <si>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</si>
  <si>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</si>
  <si>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</si>
  <si>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</si>
  <si>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</si>
  <si>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</si>
  <si>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</si>
  <si>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</si>
  <si>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</si>
  <si>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</si>
  <si>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</si>
  <si>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</si>
  <si>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</si>
  <si>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</si>
  <si>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</si>
  <si>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</si>
  <si>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</si>
  <si>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</si>
  <si>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</si>
  <si>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</si>
  <si>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</si>
  <si>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</si>
  <si>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</si>
  <si>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</si>
  <si>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</si>
  <si>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</si>
  <si>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</si>
  <si>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</si>
  <si>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</si>
  <si>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</si>
  <si>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</si>
  <si>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</si>
  <si>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</si>
  <si>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</si>
  <si>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</si>
  <si>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</si>
  <si>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</si>
  <si>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</si>
  <si>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</si>
  <si>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</si>
  <si>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</si>
  <si>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</si>
  <si>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</si>
  <si>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</si>
  <si>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</si>
  <si>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</si>
  <si>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</si>
  <si>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</si>
  <si>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</si>
  <si>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</si>
  <si>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</si>
  <si>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</si>
  <si>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</si>
  <si>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</si>
  <si>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</si>
  <si>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</si>
  <si>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</si>
  <si>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</si>
  <si>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</si>
  <si>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</si>
  <si>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</si>
  <si>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</si>
  <si>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</si>
  <si>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</si>
  <si>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</si>
  <si>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</si>
  <si>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</si>
  <si>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</si>
  <si>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</si>
  <si>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</si>
  <si>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</si>
  <si>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</si>
  <si>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</si>
  <si>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</si>
  <si>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</si>
  <si>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</si>
  <si>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</si>
  <si>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</si>
  <si>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</si>
  <si>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</si>
  <si>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</si>
  <si>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</si>
  <si>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</si>
  <si>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</si>
  <si>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</si>
  <si>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</si>
  <si>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</si>
  <si>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</si>
  <si>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</si>
  <si>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</si>
  <si>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</si>
  <si>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</si>
  <si>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</si>
  <si>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</si>
  <si>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</si>
  <si>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</si>
  <si>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</si>
  <si>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</si>
  <si>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</si>
  <si>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</si>
  <si>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</si>
  <si>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</si>
  <si>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</si>
  <si>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</si>
  <si>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</si>
  <si>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</si>
  <si>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</si>
  <si>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</si>
  <si>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</si>
  <si>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</si>
  <si>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</si>
  <si>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</si>
  <si>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</si>
  <si>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</si>
  <si>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</si>
  <si>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</si>
  <si>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</si>
  <si>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</si>
  <si>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</si>
  <si>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</si>
  <si>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</si>
  <si>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</si>
  <si>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</si>
  <si>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</si>
  <si>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</si>
  <si>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</si>
  <si>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</si>
  <si>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</si>
  <si>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</si>
  <si>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</si>
  <si>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</si>
  <si>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</si>
  <si>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</si>
  <si>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</si>
  <si>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</si>
  <si>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</si>
  <si>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</si>
  <si>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</si>
  <si>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</si>
  <si>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</si>
  <si>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</si>
  <si>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</si>
  <si>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</si>
  <si>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</si>
  <si>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</si>
  <si>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</si>
  <si>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</si>
  <si>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</si>
  <si>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</si>
  <si>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</si>
  <si>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</si>
  <si>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</si>
  <si>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</si>
  <si>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</si>
  <si>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</si>
  <si>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</si>
  <si>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</si>
  <si>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</si>
  <si>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</si>
  <si>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</si>
  <si>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</si>
  <si>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</si>
  <si>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</si>
  <si>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</si>
  <si>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</si>
  <si>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</si>
  <si>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</si>
  <si>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</si>
  <si>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</si>
  <si>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</si>
  <si>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</si>
  <si>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</si>
  <si>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</si>
  <si>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</si>
  <si>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</si>
  <si>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</si>
  <si>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</si>
  <si>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</si>
  <si>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</si>
  <si>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</si>
  <si>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</si>
  <si>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</si>
  <si>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</si>
  <si>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</si>
  <si>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</si>
  <si>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</si>
  <si>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</si>
  <si>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</si>
  <si>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</si>
  <si>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</si>
  <si>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</si>
  <si>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</si>
  <si>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</si>
  <si>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</si>
  <si>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</si>
  <si>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</si>
  <si>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</si>
  <si>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</si>
  <si>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</si>
  <si>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</si>
  <si>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</si>
  <si>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</si>
  <si>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</si>
  <si>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</si>
  <si>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</si>
  <si>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</si>
  <si>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</si>
  <si>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</si>
  <si>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</si>
  <si>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</si>
  <si>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</si>
  <si>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</si>
  <si>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</si>
  <si>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</si>
  <si>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</si>
  <si>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</si>
  <si>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</si>
  <si>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</si>
  <si>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</si>
  <si>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</si>
  <si>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</si>
  <si>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</si>
  <si>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</si>
  <si>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</si>
  <si>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</si>
  <si>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</si>
  <si>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</si>
  <si>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</si>
  <si>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</si>
  <si>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</si>
  <si>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</si>
  <si>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</si>
  <si>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</si>
  <si>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</si>
  <si>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</si>
  <si>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</si>
  <si>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</si>
  <si>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</si>
  <si>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</si>
  <si>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</si>
  <si>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</si>
  <si>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</si>
  <si>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</si>
  <si>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</si>
  <si>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</si>
  <si>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</si>
  <si>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</si>
  <si>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</si>
  <si>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</si>
  <si>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</si>
  <si>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</si>
  <si>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</si>
  <si>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</si>
  <si>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</si>
  <si>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</si>
  <si>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</si>
  <si>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</si>
  <si>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</si>
  <si>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</si>
  <si>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</si>
  <si>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</si>
  <si>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</si>
  <si>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</si>
  <si>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</si>
  <si>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</si>
  <si>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</si>
  <si>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</si>
  <si>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</si>
  <si>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</si>
  <si>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</si>
  <si>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</si>
  <si>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</si>
  <si>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</si>
  <si>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</si>
  <si>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</si>
  <si>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</si>
  <si>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</si>
  <si>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</si>
  <si>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</si>
  <si>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</si>
  <si>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</si>
  <si>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</si>
  <si>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</si>
  <si>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</si>
  <si>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</si>
  <si>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</si>
  <si>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</si>
  <si>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</si>
  <si>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</si>
  <si>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</si>
  <si>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</si>
  <si>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</si>
  <si>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</si>
  <si>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</si>
  <si>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</si>
  <si>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</si>
  <si>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</si>
  <si>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</si>
  <si>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</si>
  <si>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</si>
  <si>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</si>
  <si>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</si>
  <si>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</si>
  <si>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</si>
  <si>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</si>
  <si>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</si>
  <si>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</si>
  <si>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</si>
  <si>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</si>
  <si>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</si>
  <si>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</si>
  <si>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</si>
  <si>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</si>
  <si>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</si>
  <si>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</si>
  <si>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</si>
  <si>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</si>
  <si>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</si>
  <si>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</si>
  <si>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</si>
  <si>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</si>
  <si>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</si>
  <si>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</si>
  <si>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</si>
  <si>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</si>
  <si>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</si>
  <si>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</si>
  <si>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</si>
  <si>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</si>
  <si>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</si>
  <si>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</si>
  <si>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</si>
  <si>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</si>
  <si>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</si>
  <si>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</si>
  <si>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</si>
  <si>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</si>
  <si>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</si>
  <si>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</si>
  <si>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</si>
  <si>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</si>
  <si>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</si>
  <si>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</si>
  <si>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</si>
  <si>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</si>
  <si>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</si>
  <si>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</si>
  <si>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</si>
  <si>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</si>
  <si>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</si>
  <si>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</si>
  <si>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</si>
  <si>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</si>
  <si>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</si>
  <si>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</si>
  <si>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</si>
  <si>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</si>
  <si>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</si>
  <si>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</si>
  <si>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</si>
  <si>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</si>
  <si>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</si>
  <si>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</si>
  <si>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</si>
  <si>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</si>
  <si>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</si>
  <si>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</si>
  <si>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</si>
  <si>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</si>
  <si>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</si>
  <si>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</si>
  <si>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</si>
  <si>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</si>
  <si>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</si>
  <si>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</si>
  <si>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</si>
  <si>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</si>
  <si>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</si>
  <si>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</si>
  <si>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</si>
  <si>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</si>
  <si>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</si>
  <si>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</si>
  <si>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</si>
  <si>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</si>
  <si>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</si>
  <si>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</si>
  <si>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</si>
  <si>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</si>
  <si>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</si>
  <si>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</si>
  <si>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</si>
  <si>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</si>
  <si>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</si>
  <si>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</si>
  <si>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</si>
  <si>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</si>
  <si>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</si>
  <si>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</si>
  <si>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</si>
  <si>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</si>
  <si>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</si>
  <si>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</si>
  <si>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</si>
  <si>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</si>
  <si>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</si>
  <si>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</si>
  <si>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</si>
  <si>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</si>
  <si>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</si>
  <si>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</si>
  <si>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</si>
  <si>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</si>
  <si>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</si>
  <si>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</si>
  <si>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</si>
  <si>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</si>
  <si>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</si>
  <si>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</si>
  <si>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</si>
  <si>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</si>
  <si>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</si>
  <si>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</si>
  <si>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</si>
  <si>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</si>
  <si>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</si>
  <si>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</si>
  <si>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</si>
  <si>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</si>
  <si>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</si>
  <si>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</si>
  <si>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</si>
  <si>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</si>
  <si>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</si>
  <si>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</si>
  <si>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</si>
  <si>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</si>
  <si>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</si>
  <si>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</si>
  <si>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</si>
  <si>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</si>
  <si>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</si>
  <si>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</si>
  <si>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</si>
  <si>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</si>
  <si>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</si>
  <si>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</si>
  <si>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</si>
  <si>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</si>
  <si>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</si>
  <si>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</si>
  <si>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</si>
  <si>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</si>
  <si>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</si>
  <si>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</si>
  <si>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</si>
  <si>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</si>
  <si>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</si>
  <si>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</si>
  <si>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</si>
  <si>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</si>
  <si>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</si>
  <si>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</si>
  <si>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</si>
  <si>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</si>
  <si>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</si>
  <si>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</si>
  <si>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</si>
  <si>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</si>
  <si>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</si>
  <si>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</si>
  <si>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</si>
  <si>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</si>
  <si>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</si>
  <si>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</si>
  <si>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</si>
  <si>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</si>
  <si>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</si>
  <si>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</si>
  <si>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</si>
  <si>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</si>
  <si>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</si>
  <si>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</si>
  <si>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</si>
  <si>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</si>
  <si>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</si>
  <si>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</si>
  <si>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</si>
  <si>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</si>
  <si>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</si>
  <si>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</si>
  <si>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</si>
  <si>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</si>
  <si>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</si>
  <si>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</si>
  <si>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</si>
  <si>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</si>
  <si>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</si>
  <si>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</si>
  <si>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</si>
  <si>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</si>
  <si>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</si>
  <si>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</si>
  <si>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</si>
  <si>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</si>
  <si>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</si>
  <si>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</si>
  <si>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</si>
  <si>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</si>
  <si>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</si>
  <si>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</si>
  <si>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</si>
  <si>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</si>
  <si>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</si>
  <si>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</si>
  <si>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</si>
  <si>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</si>
  <si>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</si>
  <si>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</si>
  <si>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</si>
  <si>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</si>
  <si>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</si>
  <si>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</si>
  <si>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</si>
  <si>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</si>
  <si>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</si>
  <si>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</si>
  <si>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</si>
  <si>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</si>
  <si>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</si>
  <si>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</si>
  <si>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</si>
  <si>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</si>
  <si>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</si>
  <si>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</si>
  <si>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</si>
  <si>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</si>
  <si>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</si>
  <si>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</si>
  <si>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</si>
  <si>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</si>
  <si>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</si>
  <si>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</si>
  <si>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</si>
  <si>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</si>
  <si>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</si>
  <si>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</si>
  <si>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</si>
  <si>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</si>
  <si>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</si>
  <si>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</si>
  <si>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</si>
  <si>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</si>
  <si>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</si>
  <si>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</si>
  <si>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</si>
  <si>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</si>
  <si>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</si>
  <si>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</si>
  <si>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</si>
  <si>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</si>
  <si>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</si>
  <si>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</si>
  <si>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</si>
  <si>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</si>
  <si>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</si>
  <si>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</si>
  <si>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</si>
  <si>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</si>
  <si>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</si>
  <si>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</si>
  <si>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</si>
  <si>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</si>
  <si>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</si>
  <si>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</si>
  <si>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</si>
  <si>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</si>
  <si>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</si>
  <si>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</si>
  <si>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</si>
  <si>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</si>
  <si>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</si>
  <si>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</si>
  <si>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</si>
  <si>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</si>
  <si>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</si>
  <si>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</si>
  <si>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</si>
  <si>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</si>
  <si>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</si>
  <si>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</si>
  <si>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</si>
  <si>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</si>
  <si>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</si>
  <si>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</si>
  <si>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</si>
  <si>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</si>
  <si>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</si>
  <si>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</si>
  <si>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</si>
  <si>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</si>
  <si>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</si>
  <si>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</si>
  <si>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</si>
  <si>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</si>
  <si>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</si>
  <si>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</si>
  <si>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</si>
  <si>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</si>
  <si>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</si>
  <si>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</si>
  <si>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</si>
  <si>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</si>
  <si>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</si>
  <si>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</si>
  <si>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</si>
  <si>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</si>
  <si>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</si>
  <si>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</si>
  <si>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</si>
  <si>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</si>
  <si>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</si>
  <si>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</si>
  <si>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</si>
  <si>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</si>
  <si>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</si>
  <si>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</si>
  <si>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</si>
  <si>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</si>
  <si>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</si>
  <si>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</si>
  <si>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</si>
  <si>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</si>
  <si>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</si>
  <si>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</si>
  <si>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</si>
  <si>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</si>
  <si>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</si>
  <si>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</si>
  <si>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</si>
  <si>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</si>
  <si>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</si>
  <si>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</si>
  <si>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</si>
  <si>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</si>
  <si>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</si>
  <si>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</si>
  <si>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</si>
  <si>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</si>
  <si>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</si>
  <si>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</si>
  <si>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</si>
  <si>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</si>
  <si>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</si>
  <si>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</si>
  <si>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</si>
  <si>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</si>
  <si>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</si>
  <si>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</si>
  <si>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</si>
  <si>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</si>
  <si>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</si>
  <si>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</si>
  <si>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</si>
  <si>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</si>
  <si>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</si>
  <si>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</si>
  <si>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</si>
  <si>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</si>
  <si>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</si>
  <si>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</si>
  <si>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</si>
  <si>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</si>
  <si>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</si>
  <si>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</si>
  <si>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</si>
  <si>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</si>
  <si>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</si>
  <si>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</si>
  <si>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</si>
  <si>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</si>
  <si>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</si>
  <si>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</si>
  <si>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</si>
  <si>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</si>
  <si>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</si>
  <si>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</si>
  <si>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</si>
  <si>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</si>
  <si>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</si>
  <si>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</si>
  <si>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</si>
  <si>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</si>
  <si>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</si>
  <si>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</si>
  <si>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</si>
  <si>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</si>
  <si>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</si>
  <si>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</si>
  <si>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</si>
  <si>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</si>
  <si>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</si>
  <si>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</si>
  <si>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</si>
  <si>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</si>
  <si>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</si>
  <si>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</si>
  <si>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</si>
  <si>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</si>
  <si>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</si>
  <si>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</si>
  <si>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</si>
  <si>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</si>
  <si>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</si>
  <si>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</si>
  <si>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</si>
  <si>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</si>
  <si>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</si>
  <si>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</si>
  <si>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</si>
  <si>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</si>
  <si>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</si>
  <si>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</si>
  <si>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</si>
  <si>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</si>
  <si>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</si>
  <si>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</si>
  <si>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</si>
  <si>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</si>
  <si>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</si>
  <si>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</si>
  <si>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</si>
  <si>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</si>
  <si>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</si>
  <si>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</si>
  <si>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</si>
  <si>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</si>
  <si>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</si>
  <si>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</si>
  <si>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</si>
  <si>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</si>
  <si>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</si>
  <si>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</si>
  <si>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</si>
  <si>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</si>
  <si>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</si>
  <si>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</si>
  <si>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</si>
  <si>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</si>
  <si>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</si>
  <si>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</si>
  <si>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</si>
  <si>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</si>
  <si>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</si>
  <si>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</si>
  <si>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</si>
  <si>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</si>
  <si>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</si>
  <si>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</si>
  <si>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</si>
  <si>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</si>
  <si>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</si>
  <si>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</si>
  <si>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</si>
  <si>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</si>
  <si>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</si>
  <si>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</si>
  <si>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</si>
  <si>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</si>
  <si>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</si>
  <si>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</si>
  <si>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</si>
  <si>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</si>
  <si>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</si>
  <si>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</si>
  <si>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</si>
  <si>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</si>
  <si>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</si>
  <si>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</si>
  <si>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</si>
  <si>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</si>
  <si>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</si>
  <si>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</si>
  <si>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</si>
  <si>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</si>
  <si>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</si>
  <si>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</si>
  <si>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</si>
  <si>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</si>
  <si>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</si>
  <si>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</si>
  <si>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</si>
  <si>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</si>
  <si>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</si>
  <si>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</si>
  <si>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</si>
  <si>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</si>
  <si>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</si>
  <si>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</si>
  <si>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</si>
  <si>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</si>
  <si>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</si>
  <si>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</si>
  <si>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</si>
  <si>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</si>
  <si>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</si>
  <si>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</si>
  <si>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</si>
  <si>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</si>
  <si>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</si>
  <si>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</si>
  <si>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</si>
  <si>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</si>
  <si>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</si>
  <si>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</si>
  <si>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</si>
  <si>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</si>
  <si>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</si>
  <si>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</si>
  <si>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</si>
  <si>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</si>
  <si>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</si>
  <si>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</si>
  <si>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</si>
  <si>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</si>
  <si>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</si>
  <si>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</si>
  <si>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</si>
  <si>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</si>
  <si>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</si>
  <si>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</si>
  <si>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</si>
  <si>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</si>
  <si>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</si>
  <si>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</si>
  <si>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</si>
  <si>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</si>
  <si>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</si>
  <si>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</si>
  <si>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</si>
  <si>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</si>
  <si>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</si>
  <si>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</si>
  <si>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</si>
  <si>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</si>
  <si>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</si>
  <si>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</si>
  <si>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</si>
  <si>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</si>
  <si>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</si>
  <si>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</si>
  <si>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</si>
  <si>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</si>
  <si>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</si>
  <si>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</si>
  <si>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</si>
  <si>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</si>
  <si>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</si>
  <si>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</si>
  <si>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</si>
  <si>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</si>
  <si>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</si>
  <si>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</si>
  <si>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</si>
  <si>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</si>
  <si>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</si>
  <si>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</si>
  <si>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</si>
  <si>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</si>
  <si>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</si>
  <si>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</si>
  <si>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</si>
  <si>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</si>
  <si>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</si>
  <si>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</si>
  <si>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</si>
  <si>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</si>
  <si>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</si>
  <si>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</si>
  <si>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</si>
  <si>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</si>
  <si>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</si>
  <si>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</si>
  <si>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</si>
  <si>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</si>
  <si>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</si>
  <si>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</si>
  <si>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</si>
  <si>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</si>
  <si>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</si>
  <si>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</si>
  <si>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</si>
  <si>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</si>
  <si>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</si>
  <si>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</si>
  <si>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</si>
  <si>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</si>
  <si>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</si>
  <si>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</si>
  <si>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</si>
  <si>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</si>
  <si>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</si>
  <si>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</si>
  <si>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</si>
  <si>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</si>
  <si>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</si>
  <si>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</si>
  <si>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</si>
  <si>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</si>
  <si>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</si>
  <si>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</si>
  <si>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</si>
  <si>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</si>
  <si>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</si>
  <si>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</si>
  <si>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</si>
  <si>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</si>
  <si>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</si>
  <si>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</si>
  <si>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</si>
  <si>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</si>
  <si>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</si>
  <si>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</si>
  <si>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</si>
  <si>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</si>
  <si>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</si>
  <si>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</si>
  <si>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</si>
  <si>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</si>
  <si>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</si>
  <si>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</si>
  <si>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</si>
  <si>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</si>
  <si>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</si>
  <si>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</si>
  <si>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</si>
  <si>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</si>
  <si>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</si>
  <si>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</si>
  <si>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</si>
  <si>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</si>
  <si>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</si>
  <si>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</si>
  <si>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</si>
  <si>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</si>
  <si>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</si>
  <si>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</si>
  <si>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</si>
  <si>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</si>
  <si>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</si>
  <si>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</si>
  <si>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</si>
  <si>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</si>
  <si>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</si>
  <si>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</si>
  <si>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</si>
  <si>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</si>
  <si>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</si>
  <si>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</si>
  <si>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</si>
  <si>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</si>
  <si>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</si>
  <si>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</si>
  <si>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</si>
  <si>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</si>
  <si>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</si>
  <si>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</si>
  <si>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</si>
  <si>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</si>
  <si>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</si>
  <si>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</si>
  <si>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</si>
  <si>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</si>
  <si>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</si>
  <si>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</si>
  <si>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</si>
  <si>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</si>
  <si>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</si>
  <si>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</si>
  <si>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</si>
  <si>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</si>
  <si>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</si>
  <si>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</si>
  <si>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</si>
  <si>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</si>
  <si>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</si>
  <si>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</si>
  <si>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</si>
  <si>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</si>
  <si>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</si>
  <si>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</si>
  <si>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</si>
  <si>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</si>
  <si>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</si>
  <si>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</si>
  <si>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</si>
  <si>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</si>
  <si>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</si>
  <si>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</si>
  <si>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</si>
  <si>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</si>
  <si>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</si>
  <si>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</si>
  <si>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</si>
  <si>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</si>
  <si>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</si>
  <si>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</si>
  <si>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</si>
  <si>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</si>
  <si>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</si>
  <si>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</si>
  <si>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</si>
  <si>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</si>
  <si>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</si>
  <si>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</si>
  <si>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</si>
  <si>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</si>
  <si>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</si>
  <si>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</si>
  <si>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</si>
  <si>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</si>
  <si>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</si>
  <si>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</si>
  <si>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</si>
  <si>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</si>
  <si>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</si>
  <si>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</si>
  <si>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</si>
  <si>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</si>
  <si>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</si>
  <si>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</si>
  <si>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</si>
  <si>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</si>
  <si>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</si>
  <si>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</si>
  <si>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</si>
  <si>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</si>
  <si>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</si>
  <si>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</si>
  <si>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</si>
  <si>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</si>
  <si>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</si>
  <si>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</si>
  <si>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</si>
  <si>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</si>
  <si>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</si>
  <si>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</si>
  <si>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</si>
  <si>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</si>
  <si>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</si>
  <si>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</si>
  <si>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</si>
  <si>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</si>
  <si>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</si>
  <si>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</si>
  <si>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</si>
  <si>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</si>
  <si>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</si>
  <si>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</si>
  <si>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</si>
  <si>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</si>
  <si>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</si>
  <si>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</si>
  <si>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</si>
  <si>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</si>
  <si>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</si>
  <si>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</si>
  <si>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</si>
  <si>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</si>
  <si>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</si>
  <si>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</si>
  <si>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</si>
  <si>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</si>
  <si>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</si>
  <si>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</si>
  <si>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</si>
  <si>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</si>
  <si>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</si>
  <si>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</si>
  <si>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</si>
  <si>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</si>
  <si>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</si>
  <si>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</si>
  <si>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</si>
  <si>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</si>
  <si>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</si>
  <si>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</si>
  <si>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</si>
  <si>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</si>
  <si>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</si>
  <si>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</si>
  <si>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</si>
  <si>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</si>
  <si>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</si>
  <si>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</si>
  <si>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</si>
  <si>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</si>
  <si>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</si>
  <si>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</si>
  <si>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</si>
  <si>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</si>
  <si>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</si>
  <si>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</si>
  <si>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</si>
  <si>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</si>
  <si>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</si>
  <si>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</si>
  <si>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</si>
  <si>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</si>
  <si>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</si>
  <si>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</si>
  <si>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</si>
  <si>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</si>
  <si>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</si>
  <si>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</si>
  <si>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</si>
  <si>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</si>
  <si>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</si>
  <si>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</si>
  <si>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</si>
  <si>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</si>
  <si>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</si>
  <si>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</si>
  <si>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</si>
  <si>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</si>
  <si>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</si>
  <si>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</si>
  <si>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</si>
  <si>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</si>
  <si>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</si>
  <si>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</si>
  <si>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</si>
  <si>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</si>
  <si>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</si>
  <si>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</si>
  <si>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</si>
  <si>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</si>
  <si>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</si>
  <si>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</si>
  <si>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</si>
  <si>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</si>
  <si>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</si>
  <si>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</si>
  <si>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</si>
  <si>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</si>
  <si>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</si>
  <si>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</si>
  <si>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</si>
  <si>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</si>
  <si>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</si>
  <si>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</si>
  <si>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</si>
  <si>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</si>
  <si>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</si>
  <si>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</si>
  <si>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</si>
  <si>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</si>
  <si>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</si>
  <si>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</si>
  <si>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</si>
  <si>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</si>
  <si>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</si>
  <si>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</si>
  <si>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</si>
  <si>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</si>
  <si>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</si>
  <si>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</si>
  <si>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</si>
  <si>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</si>
  <si>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</si>
  <si>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</si>
  <si>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</si>
  <si>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</si>
  <si>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</si>
  <si>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</si>
  <si>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</si>
  <si>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</si>
  <si>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</si>
  <si>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</si>
  <si>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</si>
  <si>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</si>
  <si>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</si>
  <si>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</si>
  <si>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</si>
  <si>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</si>
  <si>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</si>
  <si>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</si>
  <si>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</si>
  <si>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</si>
  <si>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</si>
  <si>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</si>
  <si>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</si>
  <si>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</si>
  <si>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</si>
  <si>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</si>
  <si>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</si>
  <si>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</si>
  <si>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</si>
  <si>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</si>
  <si>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</si>
  <si>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</si>
  <si>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</si>
  <si>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</si>
  <si>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</si>
  <si>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</si>
  <si>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</si>
  <si>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</si>
  <si>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</si>
  <si>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</si>
  <si>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</si>
  <si>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</si>
  <si>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</si>
  <si>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</si>
  <si>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</si>
  <si>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</si>
  <si>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</si>
  <si>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</si>
  <si>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</si>
  <si>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</si>
  <si>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</si>
  <si>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</si>
  <si>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</si>
  <si>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</si>
  <si>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</si>
  <si>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</si>
  <si>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</si>
  <si>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</si>
  <si>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</si>
  <si>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</si>
  <si>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</si>
  <si>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</si>
  <si>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</si>
  <si>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</si>
  <si>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</si>
  <si>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</si>
  <si>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</si>
  <si>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</si>
  <si>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</si>
  <si>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</si>
  <si>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</si>
  <si>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</si>
  <si>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</si>
  <si>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</si>
  <si>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</si>
  <si>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</si>
  <si>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</si>
  <si>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</si>
  <si>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</si>
  <si>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</si>
  <si>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</si>
  <si>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</si>
  <si>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</si>
  <si>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</si>
  <si>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</si>
  <si>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</si>
  <si>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</si>
  <si>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</si>
  <si>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</si>
  <si>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</si>
  <si>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</si>
  <si>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</si>
  <si>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</si>
  <si>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</si>
  <si>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</si>
  <si>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</si>
  <si>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</si>
  <si>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</si>
  <si>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</si>
  <si>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</si>
  <si>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</si>
  <si>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</si>
  <si>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</si>
  <si>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</si>
  <si>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</si>
  <si>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</si>
  <si>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</si>
  <si>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</si>
  <si>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</si>
  <si>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</si>
  <si>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</si>
  <si>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</si>
  <si>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</si>
  <si>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</si>
  <si>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</si>
  <si>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</si>
  <si>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</si>
  <si>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</si>
  <si>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</si>
  <si>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</si>
  <si>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</si>
  <si>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</si>
  <si>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</si>
  <si>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</si>
  <si>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</si>
  <si>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</si>
  <si>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</si>
  <si>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</si>
  <si>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</si>
  <si>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</si>
  <si>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</si>
  <si>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</si>
  <si>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</si>
  <si>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</si>
  <si>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</si>
  <si>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</si>
  <si>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</si>
  <si>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</si>
  <si>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</si>
  <si>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</si>
  <si>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</si>
  <si>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</si>
  <si>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</si>
  <si>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</si>
  <si>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</si>
  <si>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</si>
  <si>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</si>
  <si>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</si>
  <si>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</si>
  <si>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</si>
  <si>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</si>
  <si>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</si>
  <si>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</si>
  <si>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</si>
  <si>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</si>
  <si>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</si>
  <si>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</si>
  <si>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</si>
  <si>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</si>
  <si>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</si>
  <si>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</si>
  <si>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</si>
  <si>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</si>
  <si>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</si>
  <si>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</si>
  <si>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</si>
  <si>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</si>
  <si>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</si>
  <si>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</si>
  <si>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</si>
  <si>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</si>
  <si>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</si>
  <si>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</si>
  <si>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</si>
  <si>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</si>
  <si>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</si>
  <si>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</si>
  <si>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</si>
  <si>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</si>
  <si>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</si>
  <si>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</si>
  <si>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</si>
  <si>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</si>
  <si>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</si>
  <si>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</si>
  <si>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</si>
  <si>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</si>
  <si>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</si>
  <si>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</si>
  <si>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</si>
  <si>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</si>
  <si>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</si>
  <si>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</si>
  <si>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</si>
  <si>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</si>
  <si>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</si>
  <si>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</si>
  <si>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</si>
  <si>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</si>
  <si>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</si>
  <si>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</si>
  <si>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</si>
  <si>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</si>
  <si>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</si>
  <si>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</si>
  <si>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</si>
  <si>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</si>
  <si>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</si>
  <si>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</si>
  <si>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</si>
  <si>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</si>
  <si>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</si>
  <si>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</si>
  <si>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</si>
  <si>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</si>
  <si>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</si>
  <si>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</si>
  <si>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</si>
  <si>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</si>
  <si>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</si>
  <si>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</si>
  <si>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</si>
  <si>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</si>
  <si>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</si>
  <si>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</si>
  <si>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</si>
  <si>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</si>
  <si>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</si>
  <si>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</si>
  <si>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</si>
  <si>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</si>
  <si>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</si>
  <si>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</si>
  <si>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</si>
  <si>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</si>
  <si>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</si>
  <si>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</si>
  <si>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</si>
  <si>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</si>
  <si>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</si>
  <si>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</si>
  <si>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</si>
  <si>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</si>
  <si>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</si>
  <si>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</si>
  <si>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</si>
  <si>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</si>
  <si>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</si>
  <si>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</si>
  <si>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</si>
  <si>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</si>
  <si>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</si>
  <si>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</si>
  <si>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</si>
  <si>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</si>
  <si>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</si>
  <si>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</si>
  <si>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</si>
  <si>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</si>
  <si>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</si>
  <si>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</si>
  <si>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</si>
  <si>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</si>
  <si>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</si>
  <si>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</si>
  <si>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</si>
  <si>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</si>
  <si>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</si>
  <si>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</si>
  <si>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</si>
  <si>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</si>
  <si>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</si>
  <si>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</si>
  <si>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</si>
  <si>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</si>
  <si>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</si>
  <si>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</si>
  <si>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</si>
  <si>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</si>
  <si>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</si>
  <si>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</si>
  <si>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</si>
  <si>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</si>
  <si>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</si>
  <si>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</si>
  <si>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</si>
  <si>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</si>
  <si>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</si>
  <si>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</si>
  <si>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</si>
  <si>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</si>
  <si>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</si>
  <si>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</si>
  <si>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</si>
  <si>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</si>
  <si>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</si>
  <si>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</si>
  <si>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</si>
  <si>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</si>
  <si>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</si>
  <si>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</si>
  <si>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</si>
  <si>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</si>
  <si>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</si>
  <si>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</si>
  <si>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</si>
  <si>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</si>
  <si>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</si>
  <si>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</si>
  <si>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</si>
  <si>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</si>
  <si>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</si>
  <si>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</si>
  <si>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</si>
  <si>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</si>
  <si>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</si>
  <si>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</si>
  <si>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</si>
  <si>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</si>
  <si>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</si>
  <si>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</si>
  <si>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</si>
  <si>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</si>
  <si>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</si>
  <si>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</si>
  <si>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</si>
  <si>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</si>
  <si>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</si>
  <si>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</si>
  <si>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</si>
  <si>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</si>
  <si>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</si>
  <si>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</si>
  <si>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</si>
  <si>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</si>
  <si>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</si>
  <si>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</si>
  <si>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</si>
  <si>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</si>
  <si>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</si>
  <si>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</si>
  <si>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</si>
  <si>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</si>
  <si>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</si>
  <si>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</si>
  <si>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</si>
  <si>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</si>
  <si>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</si>
  <si>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</si>
  <si>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</si>
  <si>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</si>
  <si>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</si>
  <si>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</si>
  <si>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</si>
  <si>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</si>
  <si>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</si>
  <si>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</si>
  <si>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</si>
  <si>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</si>
  <si>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</si>
  <si>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</si>
  <si>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</si>
  <si>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</si>
  <si>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</si>
  <si>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</si>
  <si>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</si>
  <si>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</si>
  <si>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</si>
  <si>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</si>
  <si>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</si>
  <si>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</si>
  <si>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</si>
  <si>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</si>
  <si>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</si>
  <si>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</si>
  <si>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</si>
  <si>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</si>
  <si>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</si>
  <si>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</si>
  <si>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</si>
  <si>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</si>
  <si>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</si>
  <si>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</si>
  <si>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</si>
  <si>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</si>
  <si>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</si>
  <si>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</si>
  <si>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</si>
  <si>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</si>
  <si>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</si>
  <si>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</si>
  <si>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</si>
  <si>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</si>
  <si>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</si>
  <si>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</si>
  <si>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</si>
  <si>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</si>
  <si>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</si>
  <si>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</si>
  <si>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</si>
  <si>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</si>
  <si>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</si>
  <si>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</si>
  <si>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</si>
  <si>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</si>
  <si>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</si>
  <si>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</si>
  <si>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</si>
  <si>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</si>
  <si>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</si>
  <si>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</si>
  <si>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</si>
  <si>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</si>
  <si>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</si>
  <si>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</si>
  <si>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</si>
  <si>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</si>
  <si>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</si>
  <si>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</si>
  <si>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</si>
  <si>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</si>
  <si>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</si>
  <si>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</si>
  <si>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</si>
  <si>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</si>
  <si>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</si>
  <si>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</si>
  <si>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</si>
  <si>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</si>
  <si>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</si>
  <si>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</si>
  <si>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</si>
  <si>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</si>
  <si>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</si>
  <si>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</si>
  <si>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</si>
  <si>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</si>
  <si>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</si>
  <si>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</si>
  <si>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</si>
  <si>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</si>
  <si>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</si>
  <si>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</si>
  <si>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</si>
  <si>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</si>
  <si>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</si>
  <si>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</si>
  <si>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</si>
  <si>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</si>
  <si>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</si>
  <si>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</si>
  <si>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</si>
  <si>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</si>
  <si>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</si>
  <si>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</si>
  <si>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</si>
  <si>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</si>
  <si>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</si>
  <si>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</si>
  <si>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</si>
  <si>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</si>
  <si>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</si>
  <si>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</si>
  <si>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</si>
  <si>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</si>
  <si>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</si>
  <si>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</si>
  <si>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</si>
  <si>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</si>
  <si>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</si>
  <si>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</si>
  <si>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</si>
  <si>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</si>
  <si>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</si>
  <si>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</si>
  <si>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</si>
  <si>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</si>
  <si>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</si>
  <si>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</si>
  <si>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</si>
  <si>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</si>
  <si>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</si>
  <si>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</si>
  <si>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</si>
  <si>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</si>
  <si>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</si>
  <si>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</si>
  <si>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</si>
  <si>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</si>
  <si>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</si>
  <si>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</si>
  <si>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</si>
  <si>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</si>
  <si>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</si>
  <si>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</si>
  <si>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</si>
  <si>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</si>
  <si>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</si>
  <si>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</si>
  <si>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</si>
  <si>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</si>
  <si>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</si>
  <si>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</si>
  <si>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</si>
  <si>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</si>
  <si>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</si>
  <si>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</si>
  <si>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</si>
  <si>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</si>
  <si>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</si>
  <si>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</si>
  <si>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</si>
  <si>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</si>
  <si>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</si>
  <si>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</si>
  <si>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</si>
  <si>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</si>
  <si>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</si>
  <si>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</si>
  <si>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</si>
  <si>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</si>
  <si>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</si>
  <si>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</si>
  <si>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</si>
  <si>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</si>
  <si>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</si>
  <si>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</si>
  <si>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</si>
  <si>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</si>
  <si>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</si>
  <si>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</si>
  <si>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</si>
  <si>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</si>
  <si>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</si>
  <si>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</si>
  <si>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</si>
  <si>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</si>
  <si>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</si>
  <si>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</si>
  <si>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</si>
  <si>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</si>
  <si>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</si>
  <si>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</si>
  <si>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</si>
  <si>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</si>
  <si>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</si>
  <si>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</si>
  <si>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</si>
  <si>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</si>
  <si>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</si>
  <si>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</si>
  <si>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</si>
  <si>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</si>
  <si>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</si>
  <si>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</si>
  <si>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</si>
  <si>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</si>
  <si>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</si>
  <si>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</si>
  <si>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</si>
  <si>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</si>
  <si>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</si>
  <si>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</si>
  <si>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</si>
  <si>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</si>
  <si>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</si>
  <si>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</si>
  <si>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</si>
  <si>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</si>
  <si>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</si>
  <si>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</si>
  <si>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</si>
  <si>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</si>
  <si>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</si>
  <si>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</si>
  <si>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</si>
  <si>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</si>
  <si>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</si>
  <si>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</si>
  <si>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</si>
  <si>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</si>
  <si>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</si>
  <si>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</si>
  <si>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</si>
  <si>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</si>
  <si>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</si>
  <si>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</si>
  <si>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</si>
  <si>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</si>
  <si>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</si>
  <si>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</si>
  <si>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</si>
  <si>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</si>
  <si>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</si>
  <si>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</si>
  <si>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</si>
  <si>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</si>
  <si>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</si>
  <si>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</si>
  <si>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</si>
  <si>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</si>
  <si>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</si>
  <si>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</si>
  <si>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</si>
  <si>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</si>
  <si>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</si>
  <si>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</si>
  <si>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</si>
  <si>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</si>
  <si>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</si>
  <si>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</si>
  <si>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</si>
  <si>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</si>
  <si>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</si>
  <si>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</si>
  <si>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</si>
  <si>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</si>
  <si>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</si>
  <si>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</si>
  <si>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</si>
  <si>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</si>
  <si>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</si>
  <si>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</si>
  <si>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</si>
  <si>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</si>
  <si>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</si>
  <si>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</si>
  <si>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</si>
  <si>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</si>
  <si>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</si>
  <si>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</si>
  <si>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</si>
  <si>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</si>
  <si>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</si>
  <si>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</si>
  <si>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</si>
  <si>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</si>
  <si>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</si>
  <si>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</si>
  <si>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</si>
  <si>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</si>
  <si>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</si>
  <si>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</si>
  <si>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</si>
  <si>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</si>
  <si>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</si>
  <si>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</si>
  <si>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</si>
  <si>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</si>
  <si>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</si>
  <si>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</si>
  <si>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</si>
  <si>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</si>
  <si>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</si>
  <si>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</si>
  <si>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</si>
  <si>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</si>
  <si>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</si>
  <si>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</si>
  <si>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</si>
  <si>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</si>
  <si>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</si>
  <si>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</si>
  <si>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</si>
  <si>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</si>
  <si>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</si>
  <si>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</si>
  <si>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</si>
  <si>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</si>
  <si>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</si>
  <si>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</si>
  <si>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</si>
  <si>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</si>
  <si>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</si>
  <si>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</si>
  <si>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</si>
  <si>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</si>
  <si>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</si>
  <si>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</si>
  <si>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</si>
  <si>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</si>
  <si>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</si>
  <si>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</si>
  <si>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</si>
  <si>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</si>
  <si>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</si>
  <si>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</si>
  <si>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</si>
  <si>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</si>
  <si>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</si>
  <si>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</si>
  <si>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</si>
  <si>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</si>
  <si>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</si>
  <si>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</si>
  <si>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</si>
  <si>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</si>
  <si>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</si>
  <si>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</si>
  <si>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</si>
  <si>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</si>
  <si>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</si>
  <si>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</si>
  <si>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</si>
  <si>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</si>
  <si>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</si>
  <si>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</si>
  <si>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</si>
  <si>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</si>
  <si>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</si>
  <si>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</si>
  <si>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</si>
  <si>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</si>
  <si>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</si>
  <si>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</si>
  <si>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</si>
  <si>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</si>
  <si>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</si>
  <si>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</si>
  <si>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</si>
  <si>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</si>
  <si>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</si>
  <si>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</si>
  <si>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</si>
  <si>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</si>
  <si>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</si>
  <si>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</si>
  <si>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</si>
  <si>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</si>
  <si>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</si>
  <si>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</si>
  <si>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</si>
  <si>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</si>
  <si>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</si>
  <si>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</si>
  <si>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</si>
  <si>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</si>
  <si>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</si>
  <si>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</si>
  <si>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</si>
  <si>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</si>
  <si>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</si>
  <si>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</si>
  <si>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</si>
  <si>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</si>
  <si>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</si>
  <si>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</si>
  <si>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</si>
  <si>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</si>
  <si>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</si>
  <si>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</si>
  <si>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</si>
  <si>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</si>
  <si>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</si>
  <si>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</si>
  <si>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</si>
  <si>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</si>
  <si>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</si>
  <si>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</si>
  <si>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</si>
  <si>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</si>
  <si>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</si>
  <si>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</si>
  <si>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</si>
  <si>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</si>
  <si>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</si>
  <si>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</si>
  <si>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</si>
  <si>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</si>
  <si>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</si>
  <si>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</si>
  <si>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</si>
  <si>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</si>
  <si>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</si>
  <si>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</si>
  <si>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</si>
  <si>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</si>
  <si>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</si>
  <si>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</si>
  <si>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</si>
  <si>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</si>
  <si>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</si>
  <si>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</si>
  <si>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</si>
  <si>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</si>
  <si>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</si>
  <si>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</si>
  <si>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</si>
  <si>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</si>
  <si>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</si>
  <si>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</si>
  <si>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</si>
  <si>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</si>
  <si>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</si>
  <si>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</si>
  <si>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</si>
  <si>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</si>
  <si>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</si>
  <si>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</si>
  <si>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</si>
  <si>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</si>
  <si>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</si>
  <si>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</si>
  <si>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</si>
  <si>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</si>
  <si>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</si>
  <si>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</si>
  <si>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</si>
  <si>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</si>
  <si>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</si>
  <si>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</si>
  <si>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</si>
  <si>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</si>
  <si>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</si>
  <si>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</si>
  <si>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</si>
  <si>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</si>
  <si>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</si>
  <si>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</si>
  <si>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</si>
  <si>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</si>
  <si>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</si>
  <si>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</si>
  <si>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</si>
  <si>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比较法-住宅、综合</t>
  </si>
  <si>
    <t>剩余法-待开发</t>
  </si>
  <si>
    <t>王鹏</t>
  </si>
  <si>
    <t>郑燚</t>
  </si>
  <si>
    <t>中信信托有限责任公司</t>
    <phoneticPr fontId="6" type="noConversion"/>
  </si>
  <si>
    <t>山东省高密市</t>
    <phoneticPr fontId="6" type="noConversion"/>
  </si>
  <si>
    <t>商服用地</t>
    <phoneticPr fontId="6" type="noConversion"/>
  </si>
  <si>
    <t>符合</t>
  </si>
  <si>
    <t>一致</t>
  </si>
  <si>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</si>
  <si>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</si>
  <si>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</si>
  <si>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</si>
  <si>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</si>
  <si>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</si>
  <si>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</si>
  <si>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</si>
  <si>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</si>
  <si>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</si>
  <si>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</si>
  <si>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</si>
  <si>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</si>
  <si>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</si>
  <si>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</si>
  <si>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</si>
  <si>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</si>
  <si>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</si>
  <si>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</si>
  <si>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</si>
  <si>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</si>
  <si>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</si>
  <si>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</si>
  <si>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</si>
  <si>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</si>
  <si>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</si>
  <si>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</si>
  <si>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</si>
  <si>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</si>
  <si>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</si>
  <si>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</si>
  <si>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</si>
  <si>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</si>
  <si>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</si>
  <si>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</si>
  <si>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</si>
  <si>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</si>
  <si>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</si>
  <si>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</si>
  <si>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</si>
  <si>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</si>
  <si>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</si>
  <si>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</si>
  <si>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</si>
  <si>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</si>
  <si>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</si>
  <si>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</si>
  <si>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</si>
  <si>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</si>
  <si>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</si>
  <si>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</si>
  <si>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</si>
  <si>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</si>
  <si>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</si>
  <si>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</si>
  <si>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</si>
  <si>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</si>
  <si>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</si>
  <si>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</si>
  <si>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</si>
  <si>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</si>
  <si>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</si>
  <si>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</si>
  <si>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</si>
  <si>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</si>
  <si>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</si>
  <si>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</si>
  <si>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</si>
  <si>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</si>
  <si>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</si>
  <si>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</si>
  <si>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</si>
  <si>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</si>
  <si>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</si>
  <si>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</si>
  <si>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</si>
  <si>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</si>
  <si>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</si>
  <si>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</si>
  <si>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</si>
  <si>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</si>
  <si>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</si>
  <si>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</si>
  <si>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</si>
  <si>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</si>
  <si>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</si>
  <si>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</si>
  <si>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</si>
  <si>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</si>
  <si>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</si>
  <si>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</si>
  <si>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</si>
  <si>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</si>
  <si>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</si>
  <si>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</si>
  <si>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</si>
  <si>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</si>
  <si>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</si>
  <si>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</si>
  <si>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</si>
  <si>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</si>
  <si>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</si>
  <si>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</si>
  <si>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</si>
  <si>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</si>
  <si>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</si>
  <si>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</si>
  <si>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</si>
  <si>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</si>
  <si>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</si>
  <si>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</si>
  <si>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</si>
  <si>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</si>
  <si>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较差</t>
  </si>
  <si>
    <t>一般</t>
  </si>
  <si>
    <t>三通</t>
  </si>
  <si>
    <t>支路</t>
  </si>
  <si>
    <t>支路</t>
    <phoneticPr fontId="26" type="noConversion"/>
  </si>
  <si>
    <t>较规则</t>
  </si>
  <si>
    <t>比例较适宜</t>
  </si>
  <si>
    <t>康成大街北、园区中心路东</t>
    <phoneticPr fontId="233" type="noConversion"/>
  </si>
  <si>
    <t>主干道</t>
  </si>
  <si>
    <t>主干道</t>
    <phoneticPr fontId="26" type="noConversion"/>
  </si>
  <si>
    <t>40</t>
    <phoneticPr fontId="3" type="noConversion"/>
  </si>
  <si>
    <t>11</t>
    <phoneticPr fontId="3" type="noConversion"/>
  </si>
  <si>
    <t>较好</t>
  </si>
  <si>
    <r>
      <t>11</t>
    </r>
    <r>
      <rPr>
        <sz val="11"/>
        <rFont val="宋体"/>
        <family val="3"/>
        <charset val="134"/>
      </rPr>
      <t>、</t>
    </r>
    <r>
      <rPr>
        <sz val="11"/>
        <rFont val="Arial"/>
        <family val="2"/>
      </rPr>
      <t>39</t>
    </r>
    <phoneticPr fontId="3" type="noConversion"/>
  </si>
  <si>
    <t>楼面地价</t>
  </si>
  <si>
    <t>新河村东南至张家庙子西北</t>
    <phoneticPr fontId="6" type="noConversion"/>
  </si>
  <si>
    <t>《国有土地使用证》[高国用（2011）第538号]</t>
    <phoneticPr fontId="6" type="noConversion"/>
  </si>
  <si>
    <t>高密市国有资产经营投资有限公司</t>
    <phoneticPr fontId="6" type="noConversion"/>
  </si>
  <si>
    <t>商业用地26.36年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</si>
</sst>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76" fontId="127" fillId="0" borderId="0" xfId="0" applyNumberFormat="1" applyFont="1" applyAlignment="1"/>
    <xf numFmtId="176" fontId="0" fillId="0" borderId="0" xfId="0" applyNumberFormat="1" applyAlignment="1"/>
    <xf numFmtId="0" fontId="127" fillId="0" borderId="0" xfId="0" applyFont="1" applyAlignment="1"/>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127" fillId="6" borderId="0" xfId="0" applyFon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6" borderId="0" xfId="0" applyFont="1" applyFill="1" applyAlignment="1"/>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176" fontId="71" fillId="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 val="比较法-住宅、综合 (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E12">
            <v>55420</v>
          </cell>
          <cell r="H12" t="str">
            <v>2016-11-13</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山东省高密市新河村东南至张家庙子西北出让国有建设用地使用权抵押价格预评估</v>
      </c>
      <c r="AX2" s="2895"/>
      <c r="AZ2" s="2895"/>
      <c r="BA2" s="2896"/>
      <c r="BC2" s="2896"/>
    </row>
    <row r="3" spans="1:55" s="2897" customFormat="1">
      <c r="A3" s="2876" t="s">
        <v>2660</v>
      </c>
      <c r="B3" s="2879" t="str">
        <f>'预评函-封皮'!B40</f>
        <v>中信信托有限责任公司</v>
      </c>
    </row>
    <row r="4" spans="1:55" s="2878" customFormat="1">
      <c r="A4" s="2876" t="s">
        <v>2661</v>
      </c>
      <c r="B4" s="2877" t="str">
        <f>'预评函-封皮'!B46</f>
        <v>王鹏、郑燚</v>
      </c>
      <c r="N4" s="2878" t="str">
        <f>'预评函-1'!A28</f>
        <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受贵公司委托，我公司对山东省高密市新河村东南至张家庙子西北出让国有建设用地使用权抵押价格进行了预评估。</v>
      </c>
      <c r="AM6" s="2901"/>
    </row>
    <row r="7" spans="1:55" s="2875" customFormat="1">
      <c r="A7" s="2876" t="s">
        <v>2656</v>
      </c>
      <c r="B7" s="2877" t="str">
        <f>'预评函-1'!A6</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2658</v>
      </c>
      <c r="B10" s="2877" t="str">
        <f>'预评函-1'!A11</f>
        <v>2018年11月22日（评估专业人员勘察现场之日）</v>
      </c>
    </row>
    <row r="11" spans="1:55" s="2875" customFormat="1">
      <c r="A11" s="2876" t="s">
        <v>2664</v>
      </c>
      <c r="B11" s="2877" t="str">
        <f>'预评函-1'!A14</f>
        <v>根据《国有土地使用证》[高国用（2011）第538号]，本次评估估价对象证载（地类）用途为商服用地。</v>
      </c>
    </row>
    <row r="12" spans="1:55" s="2875" customFormat="1">
      <c r="A12" s="2876" t="s">
        <v>2665</v>
      </c>
      <c r="B12" s="2877" t="str">
        <f>'预评函-1'!A15</f>
        <v>本次评估设定用途即为证载用途商服用地。</v>
      </c>
    </row>
    <row r="13" spans="1:55" s="2875" customFormat="1">
      <c r="A13" s="2876" t="s">
        <v>2666</v>
      </c>
      <c r="B13" s="2877" t="str">
        <f>'预评函-1'!A17</f>
        <v>根据委托估价方介绍及评估专业人员现场勘查，本次评估估价对象实际土地开发程度为红线外市政基础设施达“七通”（即通路、通电、通上水、、、、）、宗地红线内场地未平整，。</v>
      </c>
    </row>
    <row r="14" spans="1:55" s="2875" customFormat="1">
      <c r="A14" s="2876" t="s">
        <v>2667</v>
      </c>
      <c r="B14" s="2877" t="str">
        <f>'预评函-1'!A18</f>
        <v>本次评估设定土地开发程度为红线外市政基础设施达“七通”、宗地红线内场地未平整。</v>
      </c>
    </row>
    <row r="15" spans="1:55" s="2875" customFormat="1">
      <c r="A15" s="2876" t="s">
        <v>2663</v>
      </c>
      <c r="B15" s="2877" t="str">
        <f>'预评函-1'!A20</f>
        <v>根据《国有土地使用证》[]，估价对象（分摊）出让国有建设用地使用权面积为279526平方米。根据《建设工程规划许可证》[]、《出让合同》[]，估价对象规划建筑面积为782672.8平方米。</v>
      </c>
    </row>
    <row r="16" spans="1:55" s="2875" customFormat="1">
      <c r="A16" s="2876" t="s">
        <v>2668</v>
      </c>
      <c r="B16" s="2877" t="str">
        <f>'预评函-1'!A22</f>
        <v>本次估价对象为出让国有建设用地使用权，《国有土地使用证》[高国用（2011）第538号]证载土地终止日期为商业2045年3月28日。截至估价期日，出让国有建设用地使用权剩余土地使用年限为商业用地26.36年。</v>
      </c>
    </row>
    <row r="17" spans="1:48" s="2875" customFormat="1">
      <c r="A17" s="2876" t="s">
        <v>2669</v>
      </c>
      <c r="B17" s="2877" t="str">
        <f>'预评函-1'!A23</f>
        <v>本次评估设定估价对象剩余土地使用年限为商业用地26.36年。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估价期日：2018年11月22日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商服用地</v>
      </c>
      <c r="AV32" s="2881"/>
    </row>
    <row r="33" spans="1:2">
      <c r="A33" s="2876" t="s">
        <v>2712</v>
      </c>
      <c r="B33" s="2877">
        <f>'预评函-2'!F5</f>
        <v>258</v>
      </c>
    </row>
    <row r="34" spans="1:2">
      <c r="A34" s="2876" t="s">
        <v>2713</v>
      </c>
      <c r="B34" s="2877" t="str">
        <f>'预评函-2'!G5</f>
        <v>商服用地</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红线外七通、宗地红线内场地未平整</v>
      </c>
    </row>
    <row r="39" spans="1:2">
      <c r="A39" s="2876" t="s">
        <v>2718</v>
      </c>
      <c r="B39" s="2877" t="str">
        <f>'预评函-2'!L5</f>
        <v>红线外七通、宗地红线内场地未平整</v>
      </c>
    </row>
    <row r="40" spans="1:2">
      <c r="A40" s="2876" t="s">
        <v>2737</v>
      </c>
      <c r="B40" s="2877" t="str">
        <f>'预评函-2'!M3</f>
        <v>（剩余）土地使用年限/年</v>
      </c>
    </row>
    <row r="41" spans="1:2">
      <c r="A41" s="2876" t="s">
        <v>2719</v>
      </c>
      <c r="B41" s="2877" t="str">
        <f>'预评函-2'!M5</f>
        <v>商业用地26.36年</v>
      </c>
    </row>
    <row r="42" spans="1:2">
      <c r="A42" s="2876" t="s">
        <v>2738</v>
      </c>
      <c r="B42" s="2877" t="str">
        <f>'预评函-2'!N3</f>
        <v>（分摊）出让国有建设用地使用权面积/㎡</v>
      </c>
    </row>
    <row r="43" spans="1:2">
      <c r="A43" s="2876" t="s">
        <v>2720</v>
      </c>
      <c r="B43" s="2877">
        <f>'预评函-2'!N5</f>
        <v>279526</v>
      </c>
    </row>
    <row r="44" spans="1:2">
      <c r="A44" s="2876" t="s">
        <v>2739</v>
      </c>
      <c r="B44" s="2877" t="str">
        <f>'预评函-2'!O3</f>
        <v>规划建筑面积/㎡</v>
      </c>
    </row>
    <row r="45" spans="1:2">
      <c r="A45" s="2876" t="s">
        <v>2721</v>
      </c>
      <c r="B45" s="2877">
        <f>'预评函-2'!O5</f>
        <v>782672.8</v>
      </c>
    </row>
    <row r="46" spans="1:2">
      <c r="A46" s="2876" t="s">
        <v>2722</v>
      </c>
      <c r="B46" s="2877">
        <f ca="1">'预评函-2'!P5</f>
        <v>1038</v>
      </c>
    </row>
    <row r="47" spans="1:2">
      <c r="A47" s="2876" t="s">
        <v>2723</v>
      </c>
      <c r="B47" s="2877">
        <f ca="1">'预评函-2'!Q5</f>
        <v>371</v>
      </c>
    </row>
    <row r="48" spans="1:2">
      <c r="A48" s="2876" t="s">
        <v>2724</v>
      </c>
      <c r="B48" s="2877">
        <f ca="1">'预评函-2'!R5</f>
        <v>29011</v>
      </c>
    </row>
    <row r="49" spans="1:2">
      <c r="A49" s="2876" t="s">
        <v>2740</v>
      </c>
      <c r="B49" s="2877" t="str">
        <f>'预评函-2'!A6</f>
        <v>抵押价格</v>
      </c>
    </row>
    <row r="50" spans="1:2">
      <c r="A50" s="2876" t="s">
        <v>2725</v>
      </c>
      <c r="B50" s="2877">
        <f ca="1">'预评函-2'!R6</f>
        <v>28728</v>
      </c>
    </row>
    <row r="51" spans="1:2">
      <c r="A51" s="2876" t="s">
        <v>2741</v>
      </c>
      <c r="B51" s="2877" t="str">
        <f>'预评函-2'!A7</f>
        <v>——</v>
      </c>
    </row>
    <row r="52" spans="1:2">
      <c r="A52" s="2876" t="s">
        <v>2726</v>
      </c>
      <c r="B52" s="2877" t="str">
        <f>'预评函-2'!R7</f>
        <v>——</v>
      </c>
    </row>
    <row r="53" spans="1:2">
      <c r="A53" s="2876" t="s">
        <v>2742</v>
      </c>
      <c r="B53" s="2877" t="str">
        <f>'预评函-2'!A8</f>
        <v>——</v>
      </c>
    </row>
    <row r="54" spans="1:2" s="2891" customFormat="1" ht="15" thickBot="1">
      <c r="A54" s="2898" t="s">
        <v>2727</v>
      </c>
      <c r="B54" s="2899" t="str">
        <f>'预评函-2'!R8</f>
        <v>——</v>
      </c>
    </row>
    <row r="55" spans="1:2" ht="15" thickTop="1">
      <c r="A55" s="2887" t="s">
        <v>2677</v>
      </c>
      <c r="B55" s="2888" t="str">
        <f>'预评函-3'!A2</f>
        <v>1.权利限制：根据估价对象《国有土地使用证》原件、，截至估价期日，估价对象抵押权未见登记。未设定租赁等其他他项权利。</v>
      </c>
    </row>
    <row r="56" spans="1:2">
      <c r="A56" s="2876" t="s">
        <v>2678</v>
      </c>
      <c r="B56" s="2877" t="str">
        <f>'预评函-3'!A3</f>
        <v>2.基础设施条件：估价对象实际开发程度为红线外七通、宗地红线内场地未平整；本次评估设定开发程度为红线外七通、宗地红线内场地未平整。</v>
      </c>
    </row>
    <row r="57" spans="1:2">
      <c r="A57" s="2876" t="s">
        <v>2679</v>
      </c>
      <c r="B57" s="2877" t="str">
        <f>'预评函-3'!A4</f>
        <v>3.估价规划限制条件：详见《建设工程规划许可证》[]、《出让合同》[]。</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（1）根据估价对象《国有土地使用证》原件、，截至估价期日，估价对象抵押权未见登记。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综上，本次评估估价师知悉的法定优先受偿款为人民币283万元整。</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36" t="str">
        <f>IF(B10="北京市","北京市",C10)&amp;F10&amp;B16&amp;"国有建设用地使用权"&amp;B9&amp;"预评估"</f>
        <v>山东省高密市新河村东南至张家庙子西北出让国有建设用地使用权抵押价格预评估</v>
      </c>
      <c r="C1" s="3237"/>
      <c r="D1" s="3237"/>
      <c r="E1" s="3237"/>
      <c r="F1" s="3237"/>
      <c r="G1" s="3237"/>
      <c r="H1" s="3237"/>
      <c r="I1" s="3238"/>
      <c r="J1" s="1693"/>
      <c r="K1" s="2453" t="str">
        <f>IF(B10="北京市","北京市",C10)&amp;F10&amp;B16&amp;"国有建设用地使用权"&amp;B9</f>
        <v>山东省高密市新河村东南至张家庙子西北出让国有建设用地使用权抵押价格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3" t="str">
        <f>IF(B10="北京市","北京市",C10)&amp;F10&amp;B16&amp;"国有建设用地使用权"</f>
        <v>山东省高密市新河村东南至张家庙子西北出让国有建设用地使用权</v>
      </c>
      <c r="L2" s="1722"/>
      <c r="M2" s="1722"/>
      <c r="N2" s="1693"/>
      <c r="O2" s="1694"/>
      <c r="P2" s="1693"/>
      <c r="Q2" s="1693"/>
      <c r="R2" s="1693"/>
      <c r="S2" s="1693"/>
      <c r="T2" s="1693"/>
      <c r="U2" s="1693"/>
    </row>
    <row r="3" spans="1:21">
      <c r="A3" s="1661" t="s">
        <v>1941</v>
      </c>
      <c r="B3" s="1662">
        <v>43426</v>
      </c>
      <c r="C3" s="1663" t="s">
        <v>1996</v>
      </c>
      <c r="D3" s="1662">
        <f>B3</f>
        <v>43426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2998</v>
      </c>
      <c r="C4" s="1845">
        <f ca="1">SUMIF(土地估价师,B4,估价师及机构信息!E3:E24)</f>
        <v>2002110030</v>
      </c>
      <c r="D4" s="1842" t="s">
        <v>2999</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3"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3000</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3000</v>
      </c>
      <c r="C6" s="1760"/>
      <c r="D6" s="1668"/>
      <c r="E6" s="1693"/>
      <c r="F6" s="1693"/>
      <c r="G6" s="1693"/>
      <c r="H6" s="1660"/>
      <c r="I6" s="1694"/>
      <c r="J6" s="1693"/>
      <c r="K6" s="3054" t="str">
        <f>IF(COUNTIF(B6,"*上海银行*"),"上海银行","")</f>
        <v/>
      </c>
      <c r="L6" s="1722"/>
      <c r="M6" s="1722"/>
      <c r="N6" s="1693"/>
      <c r="O6" s="1694"/>
      <c r="P6" s="1693"/>
      <c r="Q6" s="1693"/>
      <c r="R6" s="1693"/>
      <c r="S6" s="1693"/>
      <c r="T6" s="1693"/>
      <c r="U6" s="1693"/>
    </row>
    <row r="7" spans="1:21">
      <c r="A7" s="1669" t="s">
        <v>2706</v>
      </c>
      <c r="B7" s="1788" t="s">
        <v>3135</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42"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43"/>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3133</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3135</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39" t="s">
        <v>3002</v>
      </c>
      <c r="C12" s="3240"/>
      <c r="D12" s="3241"/>
      <c r="E12" s="1698" t="s">
        <v>2062</v>
      </c>
      <c r="F12" s="3257" t="s">
        <v>3134</v>
      </c>
      <c r="G12" s="3258"/>
      <c r="H12" s="3258"/>
      <c r="I12" s="3259"/>
      <c r="J12" s="1693"/>
      <c r="K12" s="1773"/>
      <c r="L12" s="1722"/>
      <c r="M12" s="1722"/>
      <c r="N12" s="1693"/>
      <c r="O12" s="1694"/>
      <c r="P12" s="1693"/>
      <c r="Q12" s="1693"/>
      <c r="R12" s="1693"/>
      <c r="S12" s="1693"/>
      <c r="T12" s="1693"/>
      <c r="U12" s="1693"/>
    </row>
    <row r="13" spans="1:21">
      <c r="A13" s="1686" t="s">
        <v>2060</v>
      </c>
      <c r="B13" s="3239" t="s">
        <v>3002</v>
      </c>
      <c r="C13" s="3240"/>
      <c r="D13" s="3241"/>
      <c r="E13" s="1698" t="s">
        <v>2062</v>
      </c>
      <c r="F13" s="3257" t="s">
        <v>3134</v>
      </c>
      <c r="G13" s="3258"/>
      <c r="H13" s="3258"/>
      <c r="I13" s="3259"/>
      <c r="J13" s="1693"/>
      <c r="K13" s="1773"/>
      <c r="L13" s="1722"/>
      <c r="M13" s="1722"/>
      <c r="N13" s="1693"/>
      <c r="O13" s="1694"/>
      <c r="P13" s="1693"/>
      <c r="Q13" s="1693"/>
      <c r="R13" s="1693"/>
      <c r="S13" s="1693"/>
      <c r="T13" s="1693"/>
      <c r="U13" s="1693"/>
    </row>
    <row r="14" spans="1:21">
      <c r="A14" s="1661" t="s">
        <v>2063</v>
      </c>
      <c r="B14" s="1698"/>
      <c r="C14" s="1844" t="s">
        <v>3004</v>
      </c>
      <c r="D14" s="1732" t="str">
        <f>IF(C14="不一致","是否符合证载地类范围","")</f>
        <v/>
      </c>
      <c r="E14" s="1698"/>
      <c r="F14" s="1789" t="s">
        <v>3003</v>
      </c>
      <c r="G14" s="1727"/>
      <c r="H14" s="1727"/>
      <c r="I14" s="1836"/>
      <c r="J14" s="1693"/>
      <c r="K14" s="1773"/>
      <c r="L14" s="1722"/>
      <c r="M14" s="1722"/>
      <c r="N14" s="1693"/>
      <c r="O14" s="1694"/>
      <c r="P14" s="1693"/>
      <c r="Q14" s="1693"/>
      <c r="R14" s="1693"/>
      <c r="S14" s="1693"/>
      <c r="T14" s="1693"/>
      <c r="U14" s="1693"/>
    </row>
    <row r="15" spans="1:21" hidden="1">
      <c r="A15" s="2643"/>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4" t="s">
        <v>1951</v>
      </c>
      <c r="E16" s="1721" t="s">
        <v>2987</v>
      </c>
      <c r="F16" s="1721"/>
      <c r="G16" s="1721"/>
      <c r="H16" s="1721"/>
      <c r="I16" s="1685" t="s">
        <v>1956</v>
      </c>
      <c r="J16" s="1693"/>
      <c r="K16" s="2454" t="str">
        <f>IF(D17="","",D16&amp;TEXT(D17,"yyyy年m月d日;;"))</f>
        <v/>
      </c>
      <c r="L16" s="1698" t="str">
        <f>IF(OR(K16="",M16=""),"","、")</f>
        <v/>
      </c>
      <c r="M16" s="2454" t="str">
        <f>IF(E17="","",E16&amp;TEXT(E17,"yyyy年m月d日;;"))</f>
        <v>商业2045年3月28日</v>
      </c>
      <c r="N16" s="1698" t="str">
        <f>IF(OR(M16="",O16=""),"","、")</f>
        <v/>
      </c>
      <c r="O16" s="2454" t="str">
        <f>IF(F17="","",F16&amp;TEXT(F17,"yyyy年m月d日;;"))</f>
        <v/>
      </c>
      <c r="P16" s="1698" t="str">
        <f>IF(OR(O16="",Q16=""),"","、")</f>
        <v/>
      </c>
      <c r="Q16" s="2454" t="str">
        <f>IF(G17="","",G16&amp;TEXT(G17,"yyyy年m月d日;;"))</f>
        <v/>
      </c>
      <c r="R16" s="1698" t="str">
        <f>IF(OR(Q16="",S16=""),"","、")</f>
        <v/>
      </c>
      <c r="S16" s="2454" t="str">
        <f>IF(H17="","",H16&amp;TEXT(H17,"yyyy年m月d日;;"))</f>
        <v/>
      </c>
      <c r="T16" s="1698" t="str">
        <f>IF(OR(S16="",U16=""),"","、")</f>
        <v/>
      </c>
      <c r="U16" s="2454" t="str">
        <f>IF(I17="","",I16&amp;TEXT(I17,"yyyy年m月d日;;"))</f>
        <v/>
      </c>
    </row>
    <row r="17" spans="1:21">
      <c r="A17" s="1762"/>
      <c r="B17" s="1681"/>
      <c r="C17" s="1682" t="s">
        <v>1957</v>
      </c>
      <c r="D17" s="1699"/>
      <c r="E17" s="1699">
        <v>53049</v>
      </c>
      <c r="F17" s="1699"/>
      <c r="G17" s="1699"/>
      <c r="H17" s="1699"/>
      <c r="I17" s="1699"/>
      <c r="J17" s="1693"/>
      <c r="K17" s="2453" t="str">
        <f>CONCATENATE(K16,L16,M16,N16,O16,P16,Q16,R16,S16,T16,,U16)</f>
        <v>商业2045年3月28日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26.36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4" t="s">
        <v>3136</v>
      </c>
      <c r="E20" s="3255"/>
      <c r="F20" s="3255"/>
      <c r="G20" s="3255"/>
      <c r="H20" s="3255"/>
      <c r="I20" s="3256"/>
      <c r="J20" s="1693"/>
      <c r="K20" s="1773"/>
      <c r="L20" s="1722"/>
      <c r="M20" s="1722"/>
      <c r="N20" s="1693"/>
      <c r="O20" s="1694"/>
      <c r="P20" s="1693"/>
      <c r="Q20" s="1693"/>
      <c r="R20" s="1693"/>
      <c r="S20" s="1693"/>
      <c r="T20" s="1693"/>
      <c r="U20" s="1693"/>
    </row>
    <row r="21" spans="1:21">
      <c r="A21" s="1762" t="s">
        <v>1960</v>
      </c>
      <c r="B21" s="1763" t="s">
        <v>1961</v>
      </c>
      <c r="C21" s="1758">
        <f>'数据-汇总表'!E3</f>
        <v>782672.8</v>
      </c>
      <c r="D21" s="1759" t="s">
        <v>1962</v>
      </c>
      <c r="E21" s="3244" t="s">
        <v>1999</v>
      </c>
      <c r="F21" s="3245"/>
      <c r="G21" s="3245"/>
      <c r="H21" s="3245"/>
      <c r="I21" s="3246"/>
      <c r="J21" s="1693"/>
      <c r="K21" s="1773"/>
      <c r="L21" s="1722"/>
      <c r="M21" s="1722"/>
      <c r="N21" s="1693"/>
      <c r="O21" s="1694"/>
      <c r="P21" s="1693"/>
      <c r="Q21" s="1693"/>
      <c r="R21" s="1693"/>
      <c r="S21" s="1693"/>
      <c r="T21" s="1693"/>
      <c r="U21" s="1693"/>
    </row>
    <row r="22" spans="1:21">
      <c r="A22" s="3147" t="s">
        <v>951</v>
      </c>
      <c r="B22" s="1661" t="s">
        <v>1963</v>
      </c>
      <c r="C22" s="1685">
        <f>'数据-汇总表'!D3</f>
        <v>279526</v>
      </c>
      <c r="D22" s="1686" t="s">
        <v>1962</v>
      </c>
      <c r="E22" s="3244" t="s">
        <v>2888</v>
      </c>
      <c r="F22" s="3245"/>
      <c r="G22" s="3245"/>
      <c r="H22" s="3245"/>
      <c r="I22" s="3246"/>
      <c r="J22" s="1693"/>
      <c r="K22" s="1773"/>
      <c r="L22" s="1722"/>
      <c r="M22" s="1722"/>
      <c r="N22" s="1693"/>
      <c r="O22" s="1694"/>
      <c r="P22" s="1693"/>
      <c r="Q22" s="1693"/>
      <c r="R22" s="1693"/>
      <c r="S22" s="1693"/>
      <c r="T22" s="1693"/>
      <c r="U22" s="1693"/>
    </row>
    <row r="23" spans="1:21" ht="43.5" thickBot="1">
      <c r="A23" s="1764" t="s">
        <v>1964</v>
      </c>
      <c r="B23" s="1700" t="s">
        <v>1965</v>
      </c>
      <c r="C23" s="1701" t="s">
        <v>3005</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47" t="s">
        <v>1968</v>
      </c>
      <c r="C24" s="3248"/>
      <c r="D24" s="3249" t="s">
        <v>1969</v>
      </c>
      <c r="E24" s="3250"/>
      <c r="F24" s="1707" t="s">
        <v>1970</v>
      </c>
      <c r="G24" s="1693"/>
      <c r="H24" s="1693"/>
      <c r="I24" s="1706"/>
      <c r="J24" s="1693"/>
      <c r="K24" s="3235" t="s">
        <v>1971</v>
      </c>
      <c r="L24" s="2455"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3006</v>
      </c>
      <c r="C25" s="1708" t="s">
        <v>1972</v>
      </c>
      <c r="D25" s="1709"/>
      <c r="E25" s="1710"/>
      <c r="F25" s="1711"/>
      <c r="G25" s="1693"/>
      <c r="H25" s="1693"/>
      <c r="I25" s="1706"/>
      <c r="J25" s="1693"/>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9"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0"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0"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1"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21" t="s">
        <v>2002</v>
      </c>
      <c r="B31" s="1763" t="s">
        <v>2003</v>
      </c>
      <c r="C31" s="3260" t="s">
        <v>3009</v>
      </c>
      <c r="D31" s="3261"/>
      <c r="E31" s="1693"/>
      <c r="F31" s="1693"/>
      <c r="G31" s="1693"/>
      <c r="H31" s="1693"/>
      <c r="I31" s="1706"/>
      <c r="J31" s="1693"/>
      <c r="K31" s="2456"/>
      <c r="L31" s="1693"/>
      <c r="M31" s="1693"/>
      <c r="N31" s="1693"/>
      <c r="O31" s="1693"/>
      <c r="P31" s="1693"/>
      <c r="Q31" s="1693"/>
      <c r="R31" s="1693"/>
      <c r="S31" s="1693"/>
      <c r="T31" s="1693"/>
      <c r="U31" s="1693"/>
    </row>
    <row r="32" spans="1:21">
      <c r="A32" s="3221"/>
      <c r="B32" s="1661" t="s">
        <v>2004</v>
      </c>
      <c r="C32" s="1718"/>
      <c r="D32" s="1719"/>
      <c r="E32" s="1693"/>
      <c r="F32" s="1693"/>
      <c r="G32" s="1693"/>
      <c r="H32" s="1693"/>
      <c r="I32" s="1706"/>
      <c r="J32" s="1693"/>
      <c r="K32" s="2456"/>
      <c r="L32" s="1693"/>
      <c r="M32" s="1693"/>
      <c r="N32" s="1693"/>
      <c r="O32" s="1693"/>
      <c r="P32" s="1693"/>
      <c r="Q32" s="1693"/>
      <c r="R32" s="1693"/>
      <c r="S32" s="1693"/>
      <c r="T32" s="1693"/>
      <c r="U32" s="1693"/>
    </row>
    <row r="33" spans="1:21">
      <c r="A33" s="3221"/>
      <c r="B33" s="1661" t="s">
        <v>2005</v>
      </c>
      <c r="C33" s="1720"/>
      <c r="D33" s="1837"/>
      <c r="E33" s="1693"/>
      <c r="F33" s="1693"/>
      <c r="G33" s="1693"/>
      <c r="H33" s="1693"/>
      <c r="I33" s="1706"/>
      <c r="J33" s="1693"/>
      <c r="K33" s="2456"/>
      <c r="L33" s="1693"/>
      <c r="M33" s="1693"/>
      <c r="N33" s="1693"/>
      <c r="O33" s="1693"/>
      <c r="P33" s="1693"/>
      <c r="Q33" s="1693"/>
      <c r="R33" s="1693"/>
      <c r="S33" s="1693"/>
      <c r="T33" s="1693"/>
      <c r="U33" s="1693"/>
    </row>
    <row r="34" spans="1:21">
      <c r="A34" s="3222"/>
      <c r="B34" s="1661" t="s">
        <v>2006</v>
      </c>
      <c r="C34" s="3223"/>
      <c r="D34" s="3224"/>
      <c r="E34" s="1693"/>
      <c r="F34" s="1693"/>
      <c r="G34" s="1693"/>
      <c r="H34" s="1693"/>
      <c r="I34" s="1706"/>
      <c r="J34" s="1693"/>
      <c r="K34" s="2456"/>
      <c r="L34" s="1693"/>
      <c r="M34" s="1693"/>
      <c r="N34" s="1693"/>
      <c r="O34" s="1693"/>
      <c r="P34" s="1693"/>
      <c r="Q34" s="1693"/>
      <c r="R34" s="1693"/>
      <c r="S34" s="1693"/>
      <c r="T34" s="1693"/>
      <c r="U34" s="1693"/>
    </row>
    <row r="35" spans="1:21">
      <c r="A35" s="3225" t="s">
        <v>846</v>
      </c>
      <c r="B35" s="1721" t="s">
        <v>3011</v>
      </c>
      <c r="C35" s="1775" t="str">
        <f>IF(B35="场地平整","——","具体情况：")</f>
        <v>具体情况：</v>
      </c>
      <c r="D35" s="3227"/>
      <c r="E35" s="3228"/>
      <c r="F35" s="3228"/>
      <c r="G35" s="3228"/>
      <c r="H35" s="3228"/>
      <c r="I35" s="3229"/>
      <c r="J35" s="1693"/>
      <c r="K35" s="1774"/>
      <c r="L35" s="1722"/>
      <c r="M35" s="1722"/>
      <c r="N35" s="1693"/>
      <c r="O35" s="1694"/>
      <c r="P35" s="1693"/>
      <c r="Q35" s="1693"/>
      <c r="R35" s="1693"/>
      <c r="S35" s="1693"/>
      <c r="T35" s="1693"/>
      <c r="U35" s="1693"/>
    </row>
    <row r="36" spans="1:21" ht="28.5">
      <c r="A36" s="3221"/>
      <c r="B36" s="3230" t="s">
        <v>2055</v>
      </c>
      <c r="C36" s="3231"/>
      <c r="D36" s="1791" t="s">
        <v>3010</v>
      </c>
      <c r="E36" s="3232"/>
      <c r="F36" s="3232"/>
      <c r="G36" s="1686" t="str">
        <f>IF(B35="场地未平整","估价结果处理","")</f>
        <v>估价结果处理</v>
      </c>
      <c r="H36" s="3233"/>
      <c r="I36" s="3233"/>
      <c r="J36" s="1693"/>
      <c r="K36" s="1774"/>
      <c r="L36" s="1722"/>
      <c r="M36" s="1722"/>
      <c r="N36" s="1693"/>
      <c r="O36" s="1694"/>
      <c r="P36" s="1693"/>
      <c r="Q36" s="1693"/>
      <c r="R36" s="1693"/>
      <c r="S36" s="1693"/>
      <c r="T36" s="1693"/>
      <c r="U36" s="1693"/>
    </row>
    <row r="37" spans="1:21" ht="28.5">
      <c r="A37" s="3221"/>
      <c r="B37" s="325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21"/>
      <c r="B38" s="3252"/>
      <c r="C38" s="1669" t="s">
        <v>849</v>
      </c>
      <c r="D38" s="1790">
        <f>ROUNDDOWN(MIN(('数据-取费表'!$B$2-D37)/365,D34),1)</f>
        <v>118.9</v>
      </c>
      <c r="E38" s="1726" t="s">
        <v>850</v>
      </c>
      <c r="F38" s="1693"/>
      <c r="G38" s="1693"/>
      <c r="H38" s="1693"/>
      <c r="I38" s="1706"/>
      <c r="J38" s="1693"/>
      <c r="K38" s="1774"/>
      <c r="L38" s="1693"/>
      <c r="M38" s="1693"/>
      <c r="N38" s="1693"/>
      <c r="O38" s="1693"/>
      <c r="P38" s="1693"/>
      <c r="Q38" s="1693"/>
      <c r="R38" s="1693"/>
      <c r="S38" s="1693"/>
      <c r="T38" s="1693"/>
      <c r="U38" s="1693"/>
    </row>
    <row r="39" spans="1:21">
      <c r="A39" s="3222"/>
      <c r="B39" s="32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3012</v>
      </c>
      <c r="C40" s="1689" t="s">
        <v>3013</v>
      </c>
      <c r="D40" s="1689" t="s">
        <v>3014</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4" t="s">
        <v>1986</v>
      </c>
      <c r="T40" s="1730" t="str">
        <f>NUMBERSTRING(7-K40,1)&amp;"通"</f>
        <v>七通</v>
      </c>
      <c r="U40" s="1693"/>
    </row>
    <row r="41" spans="1:21" ht="28.5">
      <c r="A41" s="1663"/>
      <c r="B41" s="3226" t="s">
        <v>1721</v>
      </c>
      <c r="C41" s="3226"/>
      <c r="D41" s="3226"/>
      <c r="E41" s="3226"/>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4"/>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2889</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279526</v>
      </c>
      <c r="B3" s="22">
        <f>IF(C3="否",G5-AT5,G5)</f>
        <v>782672.8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782672.8</v>
      </c>
      <c r="H5" s="27">
        <f t="shared" ref="H5:AT5" si="0">SUM(H13:H641)</f>
        <v>782672.8</v>
      </c>
      <c r="I5" s="27">
        <f t="shared" si="0"/>
        <v>782672.8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782672.8</v>
      </c>
      <c r="BA5" s="29">
        <f t="shared" si="1"/>
        <v>782672.8</v>
      </c>
      <c r="BB5" s="29">
        <f t="shared" si="1"/>
        <v>782672.8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279526</v>
      </c>
      <c r="F6" s="27" t="s">
        <v>1</v>
      </c>
      <c r="G6" s="27" t="s">
        <v>2</v>
      </c>
      <c r="H6" s="33">
        <f>SUMIF(I$12:AB$12,"总值",I6:AB6)</f>
        <v>279526</v>
      </c>
      <c r="I6" s="27">
        <f t="shared" ref="I6:AB6" si="2">ROUND($A$3*I5/$B$3,2)</f>
        <v>279526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279526</v>
      </c>
      <c r="AZ6" s="27" t="s">
        <v>3</v>
      </c>
      <c r="BA6" s="27">
        <f>ROUND($AY$6*BA5/$AZ$5,2)</f>
        <v>279526</v>
      </c>
      <c r="BB6" s="27">
        <f>ROUND($AY$6*BB5/$AZ$5,2)</f>
        <v>279526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2988</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2987</v>
      </c>
      <c r="J10" s="51"/>
      <c r="K10" s="3019"/>
      <c r="L10" s="51"/>
      <c r="M10" s="3019"/>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2989</v>
      </c>
      <c r="J11" s="71"/>
      <c r="K11" s="3018"/>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279526</v>
      </c>
      <c r="F13" s="81"/>
      <c r="G13" s="82">
        <f t="shared" ref="G13:G20" si="7">H13+AC13+AT13</f>
        <v>782672.8</v>
      </c>
      <c r="H13" s="33">
        <f t="shared" ref="H13:H20" si="8">SUMIF(I$12:AB$12,"总值",I13:AB13)</f>
        <v>782672.8</v>
      </c>
      <c r="I13" s="3016">
        <f>ROUND(A3*2.8,2)</f>
        <v>782672.8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279526</v>
      </c>
      <c r="AZ13" s="27">
        <f t="shared" ref="AZ13:AZ20" si="12">BA13+BL13</f>
        <v>782672.8</v>
      </c>
      <c r="BA13" s="27">
        <f t="shared" ref="BA13:BA20" si="13">SUM(BB13:BK13)</f>
        <v>782672.8</v>
      </c>
      <c r="BB13" s="27">
        <f t="shared" ref="BB13:BB20" si="14">IF($D13="是",I13-J13,0)</f>
        <v>782672.8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3" t="s">
        <v>203</v>
      </c>
      <c r="B2" s="3273"/>
      <c r="C2" s="3273"/>
      <c r="D2" s="1975" t="s">
        <v>204</v>
      </c>
      <c r="E2" s="106" t="s">
        <v>205</v>
      </c>
      <c r="F2" s="1984"/>
      <c r="G2" s="1198"/>
      <c r="H2" s="1199"/>
      <c r="I2" s="1200" t="s">
        <v>856</v>
      </c>
      <c r="J2" s="1984"/>
      <c r="K2" s="1984"/>
      <c r="L2" s="1984"/>
    </row>
    <row r="3" spans="1:16" ht="15.75" thickBot="1">
      <c r="A3" s="3274" t="s">
        <v>206</v>
      </c>
      <c r="B3" s="3274"/>
      <c r="C3" s="3274"/>
      <c r="D3" s="107">
        <f>'数据-基础表'!AY6</f>
        <v>279526</v>
      </c>
      <c r="E3" s="107">
        <f>'数据-基础表'!AZ5</f>
        <v>782672.8</v>
      </c>
      <c r="F3" s="1984"/>
      <c r="G3" s="280" t="s">
        <v>857</v>
      </c>
      <c r="H3" s="275" t="s">
        <v>858</v>
      </c>
      <c r="I3" s="1976">
        <f>ROUND('数据-基础表'!B3/'数据-基础表'!A3,2)</f>
        <v>2.8</v>
      </c>
      <c r="J3" s="1984"/>
      <c r="K3" s="1984"/>
      <c r="L3" s="1984"/>
    </row>
    <row r="4" spans="1:16" ht="15">
      <c r="A4" s="3275"/>
      <c r="B4" s="3276"/>
      <c r="C4" s="3277"/>
      <c r="D4" s="108" t="s">
        <v>204</v>
      </c>
      <c r="E4" s="109" t="s">
        <v>205</v>
      </c>
      <c r="F4" s="1984"/>
      <c r="G4" s="1201"/>
      <c r="H4" s="275" t="s">
        <v>859</v>
      </c>
      <c r="I4" s="1976">
        <f>ROUND(SUMIF('数据-基础表'!I9:AS9,"地上",'数据-基础表'!I5:AS5)/'数据-基础表'!A3,2)</f>
        <v>2.8</v>
      </c>
      <c r="J4" s="1984"/>
      <c r="K4" s="1984"/>
      <c r="L4" s="1984"/>
    </row>
    <row r="5" spans="1:16">
      <c r="A5" s="110" t="s">
        <v>207</v>
      </c>
      <c r="B5" s="3278" t="s">
        <v>230</v>
      </c>
      <c r="C5" s="3278"/>
      <c r="D5" s="111">
        <f>ROUND($D$3*E5/$E$3,2)</f>
        <v>0</v>
      </c>
      <c r="E5" s="112">
        <f>SUMIF('数据-基础表'!$11:$11,"住宅",'数据-基础表'!$5:$5)</f>
        <v>0</v>
      </c>
      <c r="F5" s="1984"/>
      <c r="G5" s="280" t="s">
        <v>860</v>
      </c>
      <c r="H5" s="275" t="s">
        <v>858</v>
      </c>
      <c r="I5" s="1976">
        <f>ROUND(E31/D31,2)</f>
        <v>2.8</v>
      </c>
      <c r="J5" s="1984"/>
      <c r="K5" s="1984"/>
      <c r="L5" s="1984"/>
    </row>
    <row r="6" spans="1:16" ht="15" thickBot="1">
      <c r="A6" s="113"/>
      <c r="B6" s="3278" t="s">
        <v>208</v>
      </c>
      <c r="C6" s="3278"/>
      <c r="D6" s="111">
        <f>ROUND($D$3*E6/$E$3,2)</f>
        <v>279526</v>
      </c>
      <c r="E6" s="112">
        <f>E3-E5</f>
        <v>782672.8</v>
      </c>
      <c r="F6" s="1984"/>
      <c r="G6" s="1201"/>
      <c r="H6" s="275" t="s">
        <v>859</v>
      </c>
      <c r="I6" s="1976">
        <f>ROUND(F31/D31,2)</f>
        <v>2.8</v>
      </c>
      <c r="J6" s="1984"/>
      <c r="K6" s="1984"/>
      <c r="L6" s="1984"/>
    </row>
    <row r="7" spans="1:16" ht="15">
      <c r="A7" s="3270"/>
      <c r="B7" s="3271"/>
      <c r="C7" s="3272"/>
      <c r="D7" s="108" t="s">
        <v>204</v>
      </c>
      <c r="E7" s="114" t="s">
        <v>231</v>
      </c>
      <c r="F7" s="1984"/>
      <c r="G7" s="1156" t="s">
        <v>1645</v>
      </c>
      <c r="H7" s="1157"/>
      <c r="I7" s="1846"/>
      <c r="J7" s="1984"/>
      <c r="K7" s="1984"/>
      <c r="L7" s="1984"/>
    </row>
    <row r="8" spans="1:16">
      <c r="A8" s="110" t="s">
        <v>209</v>
      </c>
      <c r="B8" s="115" t="s">
        <v>210</v>
      </c>
      <c r="C8" s="111" t="s">
        <v>211</v>
      </c>
      <c r="D8" s="111">
        <f t="shared" ref="D8:D15" si="0">ROUND($D$3*E8/$E$3,2)</f>
        <v>279526</v>
      </c>
      <c r="E8" s="116">
        <f>SUMIF('数据-基础表'!BB10:BK10,"地上",'数据-基础表'!BB5:BK5)</f>
        <v>782672.8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279526</v>
      </c>
      <c r="E16" s="120">
        <f>SUM(E8:E15)</f>
        <v>782672.8</v>
      </c>
      <c r="F16" s="1984"/>
      <c r="G16" s="1986"/>
      <c r="H16" s="968" t="s">
        <v>219</v>
      </c>
      <c r="I16" s="969"/>
      <c r="J16" s="1984"/>
      <c r="K16" s="3264" t="s">
        <v>2565</v>
      </c>
      <c r="L16" s="3265"/>
      <c r="M16" s="3265"/>
      <c r="N16" s="3265"/>
      <c r="O16" s="3265"/>
      <c r="P16" s="3266"/>
    </row>
    <row r="17" spans="1:19" ht="15">
      <c r="A17" s="121" t="s">
        <v>216</v>
      </c>
      <c r="B17" s="122" t="s">
        <v>217</v>
      </c>
      <c r="C17" s="2298" t="s">
        <v>2314</v>
      </c>
      <c r="D17" s="108" t="s">
        <v>204</v>
      </c>
      <c r="E17" s="124" t="s">
        <v>205</v>
      </c>
      <c r="F17" s="125"/>
      <c r="G17" s="1366"/>
      <c r="H17" s="970" t="s">
        <v>218</v>
      </c>
      <c r="I17" s="971" t="s">
        <v>2313</v>
      </c>
      <c r="J17" s="1984"/>
      <c r="K17" s="3267" t="s">
        <v>2566</v>
      </c>
      <c r="L17" s="3268"/>
      <c r="M17" s="3269"/>
      <c r="N17" s="3267" t="s">
        <v>2567</v>
      </c>
      <c r="O17" s="3268"/>
      <c r="P17" s="3269"/>
      <c r="R17" s="2299" t="s">
        <v>2312</v>
      </c>
      <c r="S17" s="144"/>
    </row>
    <row r="18" spans="1:19" ht="15">
      <c r="A18" s="117"/>
      <c r="B18" s="128"/>
      <c r="C18" s="129"/>
      <c r="D18" s="2640"/>
      <c r="E18" s="130" t="s">
        <v>220</v>
      </c>
      <c r="F18" s="131" t="s">
        <v>221</v>
      </c>
      <c r="G18" s="1367" t="s">
        <v>222</v>
      </c>
      <c r="H18" s="972" t="s">
        <v>223</v>
      </c>
      <c r="I18" s="973" t="s">
        <v>224</v>
      </c>
      <c r="J18" s="1984"/>
      <c r="K18" s="2603" t="s">
        <v>2568</v>
      </c>
      <c r="L18" s="2604" t="s">
        <v>2569</v>
      </c>
      <c r="M18" s="2605" t="s">
        <v>2570</v>
      </c>
      <c r="N18" s="2603" t="s">
        <v>2568</v>
      </c>
      <c r="O18" s="2604" t="s">
        <v>2569</v>
      </c>
      <c r="P18" s="2605" t="s">
        <v>2570</v>
      </c>
      <c r="R18" s="2300" t="s">
        <v>2310</v>
      </c>
      <c r="S18" s="2300" t="s">
        <v>2311</v>
      </c>
    </row>
    <row r="19" spans="1:19">
      <c r="A19" s="133"/>
      <c r="B19" s="115" t="s">
        <v>225</v>
      </c>
      <c r="C19" s="3023" t="str">
        <f>'数据-基础表'!I11</f>
        <v>独立商业</v>
      </c>
      <c r="D19" s="111">
        <f t="shared" ref="D19:D26" si="1">ROUND($D$3*E19/$E$3,2)</f>
        <v>279526</v>
      </c>
      <c r="E19" s="134">
        <f t="shared" ref="E19:E26" si="2">SUM(F19:G19)</f>
        <v>782672.8</v>
      </c>
      <c r="F19" s="135">
        <f>'数据-基础表'!I13</f>
        <v>782672.8</v>
      </c>
      <c r="G19" s="1368"/>
      <c r="H19" s="974">
        <f>ROUND($D$3*I19/$E$3,2)</f>
        <v>0</v>
      </c>
      <c r="I19" s="116">
        <f>IF($I$17="自定义",P19,M19)</f>
        <v>0</v>
      </c>
      <c r="J19" s="1984"/>
      <c r="K19" s="2606">
        <f t="shared" ref="K19:K26" si="3">ROUND(E$28*E19/E$27,2)</f>
        <v>0</v>
      </c>
      <c r="L19" s="275">
        <f t="shared" ref="L19:L26" si="4">ROUND(IF(COUNTIF(C19,"*住宅*")&gt;0,E$29*E19/E$32,0),2)</f>
        <v>0</v>
      </c>
      <c r="M19" s="2607">
        <f>K19+L19</f>
        <v>0</v>
      </c>
      <c r="N19" s="2608"/>
      <c r="O19" s="2609"/>
      <c r="P19" s="2610">
        <f>N19+O19</f>
        <v>0</v>
      </c>
      <c r="R19" s="275">
        <f t="shared" ref="R19:S26" si="5">D19+H19</f>
        <v>279526</v>
      </c>
      <c r="S19" s="2301">
        <f t="shared" si="5"/>
        <v>782672.8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4"/>
      <c r="K20" s="2606">
        <f t="shared" si="3"/>
        <v>0</v>
      </c>
      <c r="L20" s="275">
        <f t="shared" si="4"/>
        <v>0</v>
      </c>
      <c r="M20" s="2607">
        <f t="shared" ref="M20:M26" si="8">K20+L20</f>
        <v>0</v>
      </c>
      <c r="N20" s="2608"/>
      <c r="O20" s="2609"/>
      <c r="P20" s="2610">
        <f t="shared" ref="P20:P26" si="9">N20+O20</f>
        <v>0</v>
      </c>
      <c r="R20" s="275">
        <f t="shared" si="5"/>
        <v>0</v>
      </c>
      <c r="S20" s="2301">
        <f t="shared" si="5"/>
        <v>0</v>
      </c>
    </row>
    <row r="21" spans="1:19">
      <c r="A21" s="138"/>
      <c r="B21" s="115" t="s">
        <v>226</v>
      </c>
      <c r="C21" s="3023"/>
      <c r="D21" s="111">
        <f t="shared" si="1"/>
        <v>0</v>
      </c>
      <c r="E21" s="134">
        <f t="shared" si="2"/>
        <v>0</v>
      </c>
      <c r="F21" s="135"/>
      <c r="G21" s="1368"/>
      <c r="H21" s="974">
        <f t="shared" si="6"/>
        <v>0</v>
      </c>
      <c r="I21" s="116">
        <f t="shared" si="7"/>
        <v>0</v>
      </c>
      <c r="J21" s="1984"/>
      <c r="K21" s="2606">
        <f t="shared" si="3"/>
        <v>0</v>
      </c>
      <c r="L21" s="275">
        <f t="shared" si="4"/>
        <v>0</v>
      </c>
      <c r="M21" s="2607">
        <f t="shared" si="8"/>
        <v>0</v>
      </c>
      <c r="N21" s="2608"/>
      <c r="O21" s="2609"/>
      <c r="P21" s="261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6">
        <f t="shared" si="3"/>
        <v>0</v>
      </c>
      <c r="L22" s="275">
        <f t="shared" si="4"/>
        <v>0</v>
      </c>
      <c r="M22" s="2607">
        <f t="shared" si="8"/>
        <v>0</v>
      </c>
      <c r="N22" s="2608"/>
      <c r="O22" s="2609"/>
      <c r="P22" s="261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6">
        <f t="shared" si="3"/>
        <v>0</v>
      </c>
      <c r="L23" s="275">
        <f t="shared" si="4"/>
        <v>0</v>
      </c>
      <c r="M23" s="2607">
        <f t="shared" si="8"/>
        <v>0</v>
      </c>
      <c r="N23" s="2608"/>
      <c r="O23" s="2609"/>
      <c r="P23" s="261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6">
        <f t="shared" si="3"/>
        <v>0</v>
      </c>
      <c r="L24" s="275">
        <f t="shared" si="4"/>
        <v>0</v>
      </c>
      <c r="M24" s="2607">
        <f t="shared" si="8"/>
        <v>0</v>
      </c>
      <c r="N24" s="2608"/>
      <c r="O24" s="2609"/>
      <c r="P24" s="261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6">
        <f t="shared" si="3"/>
        <v>0</v>
      </c>
      <c r="L25" s="275">
        <f t="shared" si="4"/>
        <v>0</v>
      </c>
      <c r="M25" s="2607">
        <f t="shared" si="8"/>
        <v>0</v>
      </c>
      <c r="N25" s="2608"/>
      <c r="O25" s="2609"/>
      <c r="P25" s="261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1">
        <f t="shared" si="3"/>
        <v>0</v>
      </c>
      <c r="L26" s="280">
        <f t="shared" si="4"/>
        <v>0</v>
      </c>
      <c r="M26" s="146">
        <f t="shared" si="8"/>
        <v>0</v>
      </c>
      <c r="N26" s="2612"/>
      <c r="O26" s="2613"/>
      <c r="P26" s="2614">
        <f t="shared" si="9"/>
        <v>0</v>
      </c>
      <c r="R26" s="275">
        <f t="shared" si="5"/>
        <v>0</v>
      </c>
      <c r="S26" s="2301">
        <f t="shared" si="5"/>
        <v>0</v>
      </c>
    </row>
    <row r="27" spans="1:19" ht="15.75" thickBot="1">
      <c r="A27" s="138"/>
      <c r="B27" s="111"/>
      <c r="C27" s="127" t="s">
        <v>215</v>
      </c>
      <c r="D27" s="134">
        <f>SUM(D19:D26)</f>
        <v>279526</v>
      </c>
      <c r="E27" s="143">
        <f>IF(SUM(E19:E26)='数据-基础表'!BA5,SUM(E19:E26),IF(F27="地上面积有误","面积有误","地下面积有误"))</f>
        <v>782672.8</v>
      </c>
      <c r="F27" s="134">
        <f>IF(SUM(F19:F26)=E8,SUM(F19:F26),"地上面积有误")</f>
        <v>782672.8</v>
      </c>
      <c r="G27" s="112">
        <f>SUM(G19:G26)</f>
        <v>0</v>
      </c>
      <c r="H27" s="975">
        <f>SUM(H19:H26)</f>
        <v>0</v>
      </c>
      <c r="I27" s="976">
        <f>SUM(I19:I26)</f>
        <v>0</v>
      </c>
      <c r="J27" s="1984"/>
      <c r="K27" s="2615">
        <f>SUM(K19:K26)</f>
        <v>0</v>
      </c>
      <c r="L27" s="2616">
        <f>SUM(L19:L26)</f>
        <v>0</v>
      </c>
      <c r="M27" s="2617">
        <f>SUM(M19:M26)</f>
        <v>0</v>
      </c>
      <c r="N27" s="2615">
        <f t="shared" ref="N27:O27" si="10">SUM(N19:N26)</f>
        <v>0</v>
      </c>
      <c r="O27" s="2616">
        <f t="shared" si="10"/>
        <v>0</v>
      </c>
      <c r="P27" s="2618">
        <f>SUM(P19:P26)</f>
        <v>0</v>
      </c>
      <c r="R27" s="2305">
        <f>IF(SUM(R19:R26)=$D$3,SUM(R19:R26),SUM(R19:R26)&amp;"误差"&amp;ROUND(SUM(R19:R26)-$D$3,2))</f>
        <v>279526</v>
      </c>
      <c r="S27" s="275">
        <f>IF(SUM(S19:S26)=$E$3,SUM(S19:S26),SUM(S19:S26)&amp;"误差"&amp;ROUND(SUM(S19:S26)-E3,2))</f>
        <v>782672.8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279526</v>
      </c>
      <c r="E31" s="1372">
        <f>E27+E30</f>
        <v>782672.8</v>
      </c>
      <c r="F31" s="1373">
        <f>F27+F30</f>
        <v>782672.8</v>
      </c>
      <c r="G31" s="1374">
        <f>G27+G30</f>
        <v>0</v>
      </c>
      <c r="H31" s="1984"/>
      <c r="I31" s="1984"/>
      <c r="J31" s="1984"/>
      <c r="K31" s="1984"/>
      <c r="L31" s="1984"/>
    </row>
    <row r="32" spans="1:19">
      <c r="A32" s="1984"/>
      <c r="B32" s="2363" t="s">
        <v>2322</v>
      </c>
      <c r="C32" s="264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12"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43426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9"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9"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独立商业</v>
      </c>
      <c r="B6" s="2337" t="str">
        <f>IF(A6=0,"","经营性")</f>
        <v>经营性</v>
      </c>
      <c r="C6" s="173" t="s">
        <v>2987</v>
      </c>
      <c r="D6" s="2308">
        <f>SUMIF(项目基本情况!D$15:I$15,C6,项目基本情况!D$18:I$18)</f>
        <v>40</v>
      </c>
      <c r="E6" s="2309">
        <f>IF(B6="","",SUMIF(项目基本情况!D$15:I$15,C6,项目基本情况!D$17:I$17))</f>
        <v>53049</v>
      </c>
      <c r="F6" s="174">
        <f>SUMIF(项目基本情况!D$15:I$15,C6,项目基本情况!D$19:I$19)</f>
        <v>26.36</v>
      </c>
      <c r="G6" s="175">
        <f>IF(ISERROR(ROUND(POWER(1+H6,D6-F6)*(POWER(1+H6,F6)-1)/(POWER(1+H6,D6)-1),3)),0,ROUND(POWER(1+H6,D6-F6)*(POWER(1+H6,F6)-1)/(POWER(1+H6,D6)-1),3))</f>
        <v>0.84299999999999997</v>
      </c>
      <c r="H6" s="3024">
        <v>0.05</v>
      </c>
      <c r="I6" s="3024">
        <v>5.5E-2</v>
      </c>
      <c r="J6" s="176">
        <v>8.5000000000000006E-2</v>
      </c>
      <c r="K6" s="179">
        <f>SUMIF('数据-汇总表'!C$19:C$33,'数据-取费表'!A6,'数据-汇总表'!E$19:E$33)</f>
        <v>782672.8</v>
      </c>
      <c r="L6" s="3190">
        <v>2400</v>
      </c>
      <c r="M6" s="177">
        <f t="shared" ref="M6:M14" si="0">ROUND(K6*L6/10000,0)</f>
        <v>187841</v>
      </c>
      <c r="N6" s="3026">
        <v>0</v>
      </c>
      <c r="O6" s="177">
        <f>IF($N$5="成新度","——",ROUND(M6*N6,0))</f>
        <v>0</v>
      </c>
      <c r="P6" s="178">
        <f>IF($N$5="成新度","——",M6-O6)</f>
        <v>187841</v>
      </c>
      <c r="Q6" s="3027">
        <v>0.15</v>
      </c>
      <c r="R6" s="179">
        <f>SUMIF('数据-汇总表'!C$19:C$33,A6,'数据-汇总表'!R$19:R$33)</f>
        <v>279526</v>
      </c>
      <c r="S6" s="132">
        <f>IF('数据-汇总表'!$I$17="按面积比例",SUMIF('数据-汇总表'!C$19:C$33,A6,'数据-汇总表'!K$19:K$33),SUMIF('数据-汇总表'!C$19:C$33,A6,'数据-汇总表'!N$19:N$33))</f>
        <v>0</v>
      </c>
      <c r="T6" s="2234" t="str">
        <f>IF($T$4="按面积比例",IF(ISERROR(ROUND($M$14*S6/S$16,0)),"0",ROUND($M$14*S6/S$16,0)),"需自行计算录入")</f>
        <v>0</v>
      </c>
      <c r="U6" s="3191">
        <v>1.2</v>
      </c>
      <c r="V6" s="181">
        <v>2.5000000000000001E-2</v>
      </c>
      <c r="W6" s="181">
        <v>0.1</v>
      </c>
      <c r="X6" s="2321"/>
      <c r="Y6" s="182">
        <v>1</v>
      </c>
      <c r="Z6" s="183"/>
      <c r="AA6" s="176"/>
      <c r="AB6" s="176"/>
      <c r="AC6" s="2324"/>
      <c r="AD6" s="184"/>
      <c r="AE6" s="972">
        <f ca="1">IF(AN6="",0,SUMIF(INDIRECT("'"&amp;AN6&amp;"'"&amp;"!E:E"),$AE$5,INDIRECT("'"&amp;AN6&amp;"'"&amp;"!F:F")))</f>
        <v>26.36</v>
      </c>
      <c r="AF6" s="141"/>
      <c r="AG6" s="1213">
        <f>IF(AF6="",0,AE6-AF6)</f>
        <v>0</v>
      </c>
      <c r="AH6" s="141"/>
      <c r="AI6" s="187">
        <v>365</v>
      </c>
      <c r="AJ6" s="188"/>
      <c r="AK6" s="189">
        <v>1.4999999999999999E-2</v>
      </c>
      <c r="AL6" s="190">
        <v>1.5E-3</v>
      </c>
      <c r="AM6" s="3038">
        <v>0.01</v>
      </c>
      <c r="AN6" s="2390" t="s">
        <v>2990</v>
      </c>
      <c r="AO6" s="2000"/>
      <c r="AP6" s="1204">
        <f>ROUND(1-1/(1+H6)^F6,3)</f>
        <v>0.72399999999999998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88"/>
      <c r="AN8" s="239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88"/>
      <c r="AN9" s="239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88"/>
      <c r="AN10" s="239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88"/>
      <c r="AN13" s="239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0.84299999999999997</v>
      </c>
      <c r="H16" s="203">
        <f>ROUND(SUMPRODUCT(H6:H13,K6:K13)/SUMPRODUCT((H6:H13&gt;0)*(K6:K13)),3)</f>
        <v>0.05</v>
      </c>
      <c r="I16" s="204"/>
      <c r="J16" s="204"/>
      <c r="K16" s="205">
        <f>SUM(K6:K15)</f>
        <v>782672.8</v>
      </c>
      <c r="L16" s="206">
        <f>ROUND(M16*10000/SUM(K6:K14),0)</f>
        <v>2400</v>
      </c>
      <c r="M16" s="206">
        <f>SUM(M6:M14)</f>
        <v>187841</v>
      </c>
      <c r="N16" s="207">
        <f>ROUND(SUMPRODUCT(M6:M14,N6:N14)/M16,3)</f>
        <v>0</v>
      </c>
      <c r="O16" s="206">
        <f>SUM(O6:O14)</f>
        <v>0</v>
      </c>
      <c r="P16" s="206">
        <f>SUM(P6:P14)</f>
        <v>187841</v>
      </c>
      <c r="Q16" s="208">
        <f>ROUND(SUMPRODUCT(Q6:Q13,K6:K13)/SUMPRODUCT((Q6:Q13&gt;0)*(K6:K13)),2)</f>
        <v>0.15</v>
      </c>
      <c r="R16" s="2311">
        <f>SUM(R6:R13)</f>
        <v>279526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0.72399999999999998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f>1.5/0.5</f>
        <v>3</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2">
        <v>4</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4</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4</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75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75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v>0</v>
      </c>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140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60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2891</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7"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7" t="s">
        <v>2456</v>
      </c>
      <c r="B40" s="2479">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3"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4"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075" t="s">
        <v>2901</v>
      </c>
      <c r="D53" s="3076"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2903</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2904</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2905</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2906</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2907</v>
      </c>
      <c r="B58" s="186">
        <v>5</v>
      </c>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2908</v>
      </c>
      <c r="B59" s="186">
        <v>5</v>
      </c>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9" t="s">
        <v>1663</v>
      </c>
      <c r="B1" s="3280"/>
      <c r="C1" s="3280"/>
      <c r="D1" s="3280"/>
      <c r="E1" s="3280"/>
      <c r="F1" s="3280"/>
      <c r="G1" s="3280"/>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80" t="s">
        <v>2919</v>
      </c>
      <c r="D3" s="2009"/>
      <c r="E3" s="1229" t="s">
        <v>1666</v>
      </c>
      <c r="F3" s="1230" t="s">
        <v>1654</v>
      </c>
      <c r="G3" s="3084" t="s">
        <v>2918</v>
      </c>
      <c r="H3" s="2008"/>
      <c r="I3" s="2008"/>
      <c r="J3" s="2008"/>
      <c r="K3" s="2008"/>
      <c r="L3" s="2008"/>
      <c r="M3" s="2008"/>
      <c r="N3" s="2008"/>
      <c r="O3" s="2008"/>
      <c r="P3" s="2008"/>
      <c r="Q3" s="2008"/>
      <c r="R3" s="2008"/>
    </row>
    <row r="4" spans="1:18" ht="41.25">
      <c r="A4" s="1229"/>
      <c r="B4" s="1231" t="s">
        <v>1667</v>
      </c>
      <c r="C4" s="3081" t="s">
        <v>2920</v>
      </c>
      <c r="D4" s="2009"/>
      <c r="E4" s="1232"/>
      <c r="F4" s="1233" t="s">
        <v>1668</v>
      </c>
      <c r="G4" s="3082" t="s">
        <v>2915</v>
      </c>
      <c r="H4" s="2008"/>
      <c r="I4" s="2008"/>
      <c r="J4" s="2008"/>
      <c r="K4" s="2008"/>
      <c r="L4" s="2008"/>
      <c r="M4" s="2008"/>
      <c r="N4" s="2008"/>
      <c r="O4" s="2008"/>
      <c r="P4" s="2008"/>
      <c r="Q4" s="2008"/>
      <c r="R4" s="2008"/>
    </row>
    <row r="5" spans="1:18" ht="41.25">
      <c r="A5" s="1229"/>
      <c r="B5" s="1231" t="s">
        <v>1669</v>
      </c>
      <c r="C5" s="3081" t="s">
        <v>2921</v>
      </c>
      <c r="D5" s="2009"/>
      <c r="E5" s="1232"/>
      <c r="F5" s="1231" t="s">
        <v>2545</v>
      </c>
      <c r="G5" s="3082" t="s">
        <v>2916</v>
      </c>
      <c r="H5" s="2008"/>
      <c r="I5" s="2008"/>
      <c r="J5" s="2008"/>
      <c r="K5" s="2008"/>
      <c r="L5" s="2008"/>
      <c r="M5" s="2008"/>
      <c r="N5" s="2008"/>
      <c r="O5" s="2008"/>
      <c r="P5" s="2008"/>
      <c r="Q5" s="2008"/>
      <c r="R5" s="2008"/>
    </row>
    <row r="6" spans="1:18" ht="54">
      <c r="A6" s="1229"/>
      <c r="B6" s="1231" t="s">
        <v>1655</v>
      </c>
      <c r="C6" s="3082" t="s">
        <v>2915</v>
      </c>
      <c r="D6" s="2009"/>
      <c r="E6" s="1232"/>
      <c r="F6" s="1231" t="s">
        <v>2546</v>
      </c>
      <c r="G6" s="3082" t="s">
        <v>2913</v>
      </c>
      <c r="H6" s="2008"/>
      <c r="I6" s="2008"/>
      <c r="J6" s="2008"/>
      <c r="K6" s="2008"/>
      <c r="L6" s="2008"/>
      <c r="M6" s="2008"/>
      <c r="N6" s="2008"/>
      <c r="O6" s="2008"/>
      <c r="P6" s="2008"/>
      <c r="Q6" s="2008"/>
      <c r="R6" s="2008"/>
    </row>
    <row r="7" spans="1:18" ht="41.25" thickBot="1">
      <c r="A7" s="1229"/>
      <c r="B7" s="1231" t="s">
        <v>2545</v>
      </c>
      <c r="C7" s="3082" t="s">
        <v>2916</v>
      </c>
      <c r="D7" s="2010"/>
      <c r="E7" s="1234"/>
      <c r="F7" s="1235" t="s">
        <v>1670</v>
      </c>
      <c r="G7" s="3085" t="s">
        <v>2917</v>
      </c>
      <c r="H7" s="2008"/>
      <c r="I7" s="2008"/>
      <c r="J7" s="2008"/>
      <c r="K7" s="2008"/>
      <c r="L7" s="2008"/>
      <c r="M7" s="2008"/>
      <c r="N7" s="2008"/>
      <c r="O7" s="2008"/>
      <c r="P7" s="2008"/>
      <c r="Q7" s="2008"/>
      <c r="R7" s="2008"/>
    </row>
    <row r="8" spans="1:18" ht="27">
      <c r="A8" s="1229"/>
      <c r="B8" s="1231" t="s">
        <v>2546</v>
      </c>
      <c r="C8" s="3082" t="s">
        <v>2913</v>
      </c>
      <c r="D8" s="2010"/>
      <c r="E8" s="2010"/>
      <c r="F8" s="1554"/>
      <c r="G8" s="1554"/>
      <c r="H8" s="2008"/>
      <c r="I8" s="2008"/>
      <c r="J8" s="2008"/>
      <c r="K8" s="2008"/>
      <c r="L8" s="2008"/>
      <c r="M8" s="2008"/>
      <c r="N8" s="2008"/>
      <c r="O8" s="2008"/>
      <c r="P8" s="2008"/>
      <c r="Q8" s="2008"/>
      <c r="R8" s="2008"/>
    </row>
    <row r="9" spans="1:18" ht="40.5">
      <c r="A9" s="1229"/>
      <c r="B9" s="1231" t="s">
        <v>1656</v>
      </c>
      <c r="C9" s="3081"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3"/>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6"/>
      <c r="E12" s="2009"/>
      <c r="F12" s="2010"/>
      <c r="G12" s="2012"/>
      <c r="H12" s="2017"/>
      <c r="I12" s="2018"/>
      <c r="J12" s="2017"/>
      <c r="K12" s="2017"/>
      <c r="L12" s="2019"/>
      <c r="M12" s="2017"/>
      <c r="N12" s="2020"/>
      <c r="O12" s="2021"/>
      <c r="P12" s="2022"/>
      <c r="Q12" s="2020"/>
      <c r="R12" s="2006"/>
    </row>
    <row r="13" spans="1:18" ht="19.5" thickBot="1">
      <c r="A13" s="2575" t="s">
        <v>1672</v>
      </c>
      <c r="B13" s="2576"/>
      <c r="C13" s="2576"/>
      <c r="D13" s="1224"/>
      <c r="E13" s="2576"/>
      <c r="F13" s="2576"/>
      <c r="G13" s="2576"/>
    </row>
    <row r="14" spans="1:18" ht="14.25" thickBot="1">
      <c r="A14" s="1238"/>
      <c r="B14" s="1239"/>
      <c r="C14" s="1240" t="s">
        <v>1664</v>
      </c>
      <c r="D14" s="2009"/>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9"/>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9"/>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10"/>
      <c r="E17" s="2584"/>
      <c r="F17" s="1247" t="s">
        <v>1674</v>
      </c>
      <c r="G17" s="2792"/>
    </row>
    <row r="18" spans="1:7" ht="54">
      <c r="A18" s="2587"/>
      <c r="B18" s="1247" t="s">
        <v>1655</v>
      </c>
      <c r="C18" s="1005" t="str">
        <f>C6</f>
        <v>估价对象周边道路状况、公共交通通达情况、停车便捷程度，综合评价交通便捷度较好</v>
      </c>
      <c r="D18" s="2010"/>
      <c r="E18" s="2584"/>
      <c r="F18" s="1247" t="s">
        <v>1670</v>
      </c>
      <c r="G18" s="1005" t="str">
        <f>G7</f>
        <v>该园区内是否有污染型企业，绿化情况，卫生条件，整体环境状况判断</v>
      </c>
    </row>
    <row r="19" spans="1:7" ht="27">
      <c r="A19" s="2587"/>
      <c r="B19" s="1247" t="s">
        <v>1659</v>
      </c>
      <c r="C19" s="2792"/>
      <c r="D19" s="2009"/>
      <c r="E19" s="2584"/>
      <c r="F19" s="1231" t="s">
        <v>2545</v>
      </c>
      <c r="G19" s="1005" t="str">
        <f>G5</f>
        <v>估价对象所在区域公共配套设施齐备情况</v>
      </c>
    </row>
    <row r="20" spans="1:7" ht="40.5">
      <c r="A20" s="2587"/>
      <c r="B20" s="1247" t="s">
        <v>1660</v>
      </c>
      <c r="C20" s="1246" t="str">
        <f>C9</f>
        <v>区域自然环境：；人文环境；综合评价环境状况一般</v>
      </c>
      <c r="D20" s="2010"/>
      <c r="E20" s="2584"/>
      <c r="F20" s="1231" t="s">
        <v>2546</v>
      </c>
      <c r="G20" s="1005" t="str">
        <f>G6</f>
        <v>估价对象所在区域基础设施水平</v>
      </c>
    </row>
    <row r="21" spans="1:7" ht="27">
      <c r="A21" s="2587"/>
      <c r="B21" s="1231" t="s">
        <v>2545</v>
      </c>
      <c r="C21" s="1005" t="str">
        <f>C7</f>
        <v>估价对象所在区域公共配套设施齐备情况</v>
      </c>
      <c r="D21" s="2009"/>
      <c r="E21" s="2584"/>
      <c r="F21" s="1247" t="s">
        <v>1661</v>
      </c>
      <c r="G21" s="3086"/>
    </row>
    <row r="22" spans="1:7" ht="27">
      <c r="A22" s="2587"/>
      <c r="B22" s="1231" t="s">
        <v>2546</v>
      </c>
      <c r="C22" s="1005" t="str">
        <f>C8</f>
        <v>估价对象所在区域基础设施水平</v>
      </c>
      <c r="D22" s="2009"/>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4" t="s">
        <v>2843</v>
      </c>
      <c r="B1" s="3044">
        <f>SUM(B14:B23)</f>
        <v>782672.8</v>
      </c>
      <c r="C1" s="3045"/>
      <c r="D1" s="3045"/>
      <c r="E1" s="3045"/>
      <c r="F1" s="3045"/>
    </row>
    <row r="2" spans="1:9" ht="16.5">
      <c r="A2" s="3044" t="s">
        <v>2844</v>
      </c>
      <c r="B2" s="3044">
        <f>SUM(C14:C23)</f>
        <v>279526</v>
      </c>
      <c r="C2" s="3045"/>
      <c r="D2" s="3045"/>
      <c r="E2" s="3045"/>
      <c r="F2" s="3045"/>
    </row>
    <row r="3" spans="1:9" ht="16.5">
      <c r="A3" s="3044" t="s">
        <v>2845</v>
      </c>
      <c r="B3" s="3046">
        <f>项目基本情况!D3</f>
        <v>43426</v>
      </c>
      <c r="C3" s="3045"/>
      <c r="D3" s="3045"/>
      <c r="E3" s="3045"/>
      <c r="F3" s="3045"/>
    </row>
    <row r="4" spans="1:9" ht="33">
      <c r="A4" s="3044" t="s">
        <v>2846</v>
      </c>
      <c r="B4" s="3044" t="s">
        <v>2847</v>
      </c>
      <c r="C4" s="3044" t="s">
        <v>2848</v>
      </c>
      <c r="D4" s="3044" t="s">
        <v>2849</v>
      </c>
      <c r="E4" s="3045"/>
      <c r="F4" s="3045"/>
    </row>
    <row r="5" spans="1:9" ht="16.5">
      <c r="A5" s="3044" t="s">
        <v>2850</v>
      </c>
      <c r="B5" s="3044">
        <f ca="1">SUM(D14:D23)</f>
        <v>29011</v>
      </c>
      <c r="C5" s="3044">
        <f ca="1">ROUND(B5*10000/$B$1,0)</f>
        <v>371</v>
      </c>
      <c r="D5" s="3044">
        <f ca="1">ROUND(B5*10000/$B$2,0)</f>
        <v>1038</v>
      </c>
      <c r="E5" s="3045"/>
      <c r="F5" s="3045"/>
    </row>
    <row r="6" spans="1:9" ht="16.5">
      <c r="A6" s="3044" t="s">
        <v>2851</v>
      </c>
      <c r="B6" s="3044">
        <f ca="1">SUM(G14:G23)</f>
        <v>28728</v>
      </c>
      <c r="C6" s="3044">
        <f t="shared" ref="C6:C8" ca="1" si="0">ROUND(B6*10000/$B$1,0)</f>
        <v>367</v>
      </c>
      <c r="D6" s="3044">
        <f t="shared" ref="D6:D8" ca="1" si="1">ROUND(B6*10000/$B$2,0)</f>
        <v>1028</v>
      </c>
      <c r="E6" s="3045"/>
      <c r="F6" s="3045"/>
    </row>
    <row r="7" spans="1:9" ht="16.5">
      <c r="A7" s="3044" t="s">
        <v>2852</v>
      </c>
      <c r="B7" s="3044">
        <f>SUM(H14:H23)</f>
        <v>0</v>
      </c>
      <c r="C7" s="3044">
        <f t="shared" si="0"/>
        <v>0</v>
      </c>
      <c r="D7" s="3044">
        <f t="shared" si="1"/>
        <v>0</v>
      </c>
      <c r="E7" s="3045"/>
      <c r="F7" s="3045"/>
    </row>
    <row r="8" spans="1:9" ht="16.5">
      <c r="A8" s="3044" t="s">
        <v>2853</v>
      </c>
      <c r="B8" s="3044">
        <f>SUM(I14:I23)</f>
        <v>0</v>
      </c>
      <c r="C8" s="3044">
        <f t="shared" si="0"/>
        <v>0</v>
      </c>
      <c r="D8" s="3044">
        <f t="shared" si="1"/>
        <v>0</v>
      </c>
      <c r="E8" s="3045"/>
      <c r="F8" s="3045"/>
    </row>
    <row r="9" spans="1:9" ht="16.5">
      <c r="A9" s="3044" t="s">
        <v>2854</v>
      </c>
      <c r="B9" s="3047"/>
      <c r="C9" s="3045"/>
      <c r="D9" s="3045"/>
      <c r="E9" s="3045"/>
      <c r="F9" s="3045"/>
    </row>
    <row r="10" spans="1:9" ht="16.5">
      <c r="A10" s="3044" t="s">
        <v>2855</v>
      </c>
      <c r="B10" s="3047"/>
      <c r="C10" s="3045"/>
      <c r="D10" s="3045"/>
      <c r="E10" s="3045"/>
      <c r="F10" s="3045"/>
    </row>
    <row r="11" spans="1:9" ht="16.5">
      <c r="A11" s="3044" t="s">
        <v>2872</v>
      </c>
      <c r="B11" s="3047"/>
      <c r="C11" s="3045"/>
      <c r="D11" s="3045"/>
      <c r="E11" s="3045"/>
      <c r="F11" s="3045"/>
    </row>
    <row r="12" spans="1:9" ht="16.5">
      <c r="A12" s="3045"/>
      <c r="B12" s="3045"/>
      <c r="C12" s="3045"/>
      <c r="D12" s="3045"/>
      <c r="E12" s="3045"/>
      <c r="F12" s="3045"/>
    </row>
    <row r="13" spans="1:9" ht="33">
      <c r="A13" s="3050" t="s">
        <v>2871</v>
      </c>
      <c r="B13" s="3048" t="s">
        <v>2843</v>
      </c>
      <c r="C13" s="3048" t="s">
        <v>2844</v>
      </c>
      <c r="D13" s="3048" t="s">
        <v>2856</v>
      </c>
      <c r="E13" s="3044" t="s">
        <v>2870</v>
      </c>
      <c r="F13" s="3044" t="s">
        <v>2849</v>
      </c>
      <c r="G13" s="3048" t="s">
        <v>2857</v>
      </c>
      <c r="H13" s="3048" t="s">
        <v>2858</v>
      </c>
      <c r="I13" s="3048" t="s">
        <v>2859</v>
      </c>
    </row>
    <row r="14" spans="1:9" ht="16.5">
      <c r="A14" s="3051" t="s">
        <v>2869</v>
      </c>
      <c r="B14" s="3048">
        <f>结果表!L38</f>
        <v>782672.8</v>
      </c>
      <c r="C14" s="3048">
        <f>结果表!K38</f>
        <v>279526</v>
      </c>
      <c r="D14" s="3048">
        <f ca="1">结果表!C42</f>
        <v>29011</v>
      </c>
      <c r="E14" s="3048">
        <f ca="1">ROUND(D14*10000/B14,0)</f>
        <v>371</v>
      </c>
      <c r="F14" s="3048">
        <f ca="1">ROUND(D14*10000/C14,0)</f>
        <v>1038</v>
      </c>
      <c r="G14" s="3048">
        <f ca="1">结果表!C44</f>
        <v>28728</v>
      </c>
      <c r="H14" s="3048" t="str">
        <f>结果表!C45</f>
        <v>——</v>
      </c>
      <c r="I14" s="3048" t="str">
        <f>结果表!C46</f>
        <v>——</v>
      </c>
    </row>
    <row r="15" spans="1:9" ht="16.5">
      <c r="A15" s="3051" t="s">
        <v>2860</v>
      </c>
      <c r="B15" s="3052"/>
      <c r="C15" s="3052"/>
      <c r="D15" s="3052"/>
      <c r="E15" s="3048" t="e">
        <f t="shared" ref="E15:E23" si="2">ROUND(D15*10000/B15,0)</f>
        <v>#DIV/0!</v>
      </c>
      <c r="F15" s="3048" t="e">
        <f t="shared" ref="F15:F23" si="3">ROUND(D15*10000/C15,0)</f>
        <v>#DIV/0!</v>
      </c>
      <c r="G15" s="3049"/>
      <c r="H15" s="3049"/>
      <c r="I15" s="3052"/>
    </row>
    <row r="16" spans="1:9" ht="16.5">
      <c r="A16" s="3051" t="s">
        <v>2861</v>
      </c>
      <c r="B16" s="3052"/>
      <c r="C16" s="3052"/>
      <c r="D16" s="3052"/>
      <c r="E16" s="3048" t="e">
        <f t="shared" si="2"/>
        <v>#DIV/0!</v>
      </c>
      <c r="F16" s="3048" t="e">
        <f t="shared" si="3"/>
        <v>#DIV/0!</v>
      </c>
      <c r="G16" s="3049"/>
      <c r="H16" s="3049"/>
      <c r="I16" s="3052"/>
    </row>
    <row r="17" spans="1:9" ht="16.5">
      <c r="A17" s="3051" t="s">
        <v>2862</v>
      </c>
      <c r="B17" s="3052"/>
      <c r="C17" s="3052"/>
      <c r="D17" s="3052"/>
      <c r="E17" s="3048" t="e">
        <f t="shared" si="2"/>
        <v>#DIV/0!</v>
      </c>
      <c r="F17" s="3048" t="e">
        <f t="shared" si="3"/>
        <v>#DIV/0!</v>
      </c>
      <c r="G17" s="3049"/>
      <c r="H17" s="3049"/>
      <c r="I17" s="3052"/>
    </row>
    <row r="18" spans="1:9" ht="16.5">
      <c r="A18" s="3051" t="s">
        <v>2863</v>
      </c>
      <c r="B18" s="3052"/>
      <c r="C18" s="3052"/>
      <c r="D18" s="3052"/>
      <c r="E18" s="3048" t="e">
        <f t="shared" si="2"/>
        <v>#DIV/0!</v>
      </c>
      <c r="F18" s="3048" t="e">
        <f t="shared" si="3"/>
        <v>#DIV/0!</v>
      </c>
      <c r="G18" s="3052"/>
      <c r="H18" s="3052"/>
      <c r="I18" s="3052"/>
    </row>
    <row r="19" spans="1:9" ht="16.5">
      <c r="A19" s="3051" t="s">
        <v>2864</v>
      </c>
      <c r="B19" s="3052"/>
      <c r="C19" s="3052"/>
      <c r="D19" s="3052"/>
      <c r="E19" s="3048" t="e">
        <f t="shared" si="2"/>
        <v>#DIV/0!</v>
      </c>
      <c r="F19" s="3048" t="e">
        <f t="shared" si="3"/>
        <v>#DIV/0!</v>
      </c>
      <c r="G19" s="3052"/>
      <c r="H19" s="3052"/>
      <c r="I19" s="3052"/>
    </row>
    <row r="20" spans="1:9" ht="16.5">
      <c r="A20" s="3051" t="s">
        <v>2865</v>
      </c>
      <c r="B20" s="3052"/>
      <c r="C20" s="3052"/>
      <c r="D20" s="3052"/>
      <c r="E20" s="3048" t="e">
        <f t="shared" si="2"/>
        <v>#DIV/0!</v>
      </c>
      <c r="F20" s="3048" t="e">
        <f t="shared" si="3"/>
        <v>#DIV/0!</v>
      </c>
      <c r="G20" s="3052"/>
      <c r="H20" s="3052"/>
      <c r="I20" s="3052"/>
    </row>
    <row r="21" spans="1:9" ht="16.5">
      <c r="A21" s="3051" t="s">
        <v>2866</v>
      </c>
      <c r="B21" s="3052"/>
      <c r="C21" s="3052"/>
      <c r="D21" s="3052"/>
      <c r="E21" s="3048" t="e">
        <f t="shared" si="2"/>
        <v>#DIV/0!</v>
      </c>
      <c r="F21" s="3048" t="e">
        <f t="shared" si="3"/>
        <v>#DIV/0!</v>
      </c>
      <c r="G21" s="3052"/>
      <c r="H21" s="3052"/>
      <c r="I21" s="3052"/>
    </row>
    <row r="22" spans="1:9" ht="16.5">
      <c r="A22" s="3051" t="s">
        <v>2867</v>
      </c>
      <c r="B22" s="3052"/>
      <c r="C22" s="3052"/>
      <c r="D22" s="3052"/>
      <c r="E22" s="3048" t="e">
        <f t="shared" si="2"/>
        <v>#DIV/0!</v>
      </c>
      <c r="F22" s="3048" t="e">
        <f t="shared" si="3"/>
        <v>#DIV/0!</v>
      </c>
      <c r="G22" s="3052"/>
      <c r="H22" s="3052"/>
      <c r="I22" s="3052"/>
    </row>
    <row r="23" spans="1:9" ht="16.5">
      <c r="A23" s="3051" t="s">
        <v>2868</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3007</v>
      </c>
      <c r="E1" s="1805" t="s">
        <v>2058</v>
      </c>
      <c r="F1" s="1807" t="s">
        <v>3008</v>
      </c>
      <c r="G1" s="311"/>
      <c r="H1" s="311"/>
      <c r="I1" s="311"/>
      <c r="J1" s="2029"/>
      <c r="K1" s="2029"/>
      <c r="L1" s="2029"/>
      <c r="M1" s="2029"/>
      <c r="N1" s="2029"/>
      <c r="O1" s="2029"/>
      <c r="P1" s="2029"/>
      <c r="Q1" s="2029"/>
      <c r="R1" s="2029"/>
      <c r="S1" s="2029"/>
      <c r="T1" s="2029"/>
      <c r="U1" s="2029"/>
      <c r="V1" s="2029"/>
    </row>
    <row r="2" spans="1:22" ht="21.75" customHeight="1" thickBot="1">
      <c r="A2" s="3317" t="str">
        <f>项目基本情况!K2</f>
        <v>山东省高密市新河村东南至张家庙子西北出让国有建设用地使用权</v>
      </c>
      <c r="B2" s="3318"/>
      <c r="C2" s="3319"/>
      <c r="D2" s="3319"/>
      <c r="E2" s="3319"/>
      <c r="F2" s="3319"/>
      <c r="G2" s="3318"/>
      <c r="H2" s="3318"/>
      <c r="I2" s="3320"/>
      <c r="J2" s="2030"/>
      <c r="K2" s="2029"/>
      <c r="L2" s="2029"/>
      <c r="M2" s="2029"/>
      <c r="N2" s="2029"/>
      <c r="O2" s="2029"/>
      <c r="P2" s="2029"/>
      <c r="Q2" s="2029"/>
      <c r="R2" s="2029"/>
      <c r="S2" s="2029"/>
      <c r="T2" s="2029"/>
      <c r="U2" s="2029"/>
      <c r="V2" s="2029"/>
    </row>
    <row r="3" spans="1:22" ht="14.25">
      <c r="A3" s="3310" t="s">
        <v>298</v>
      </c>
      <c r="B3" s="3311"/>
      <c r="C3" s="3311"/>
      <c r="D3" s="3311"/>
      <c r="E3" s="3311"/>
      <c r="F3" s="3311"/>
      <c r="G3" s="3311"/>
      <c r="H3" s="3311"/>
      <c r="I3" s="3311"/>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82" t="s">
        <v>301</v>
      </c>
      <c r="F4" s="3283"/>
      <c r="G4" s="3283"/>
      <c r="H4" s="3283"/>
      <c r="I4" s="331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1" t="s">
        <v>302</v>
      </c>
      <c r="B5" s="3307">
        <v>25</v>
      </c>
      <c r="C5" s="3305"/>
      <c r="D5" s="3309"/>
      <c r="E5" s="261" t="s">
        <v>303</v>
      </c>
      <c r="F5" s="262"/>
      <c r="G5" s="262"/>
      <c r="H5" s="262"/>
      <c r="I5" s="263"/>
      <c r="J5" s="2030"/>
      <c r="K5" s="2029"/>
      <c r="L5" s="2029"/>
      <c r="M5" s="2029"/>
      <c r="N5" s="2029"/>
      <c r="O5" s="2029"/>
      <c r="P5" s="2029"/>
      <c r="Q5" s="2029"/>
      <c r="R5" s="2029"/>
      <c r="S5" s="2029"/>
      <c r="T5" s="2029"/>
      <c r="U5" s="2029"/>
      <c r="V5" s="2029"/>
    </row>
    <row r="6" spans="1:22" ht="14.25">
      <c r="A6" s="3281"/>
      <c r="B6" s="3307"/>
      <c r="C6" s="3308"/>
      <c r="D6" s="3309"/>
      <c r="E6" s="261" t="s">
        <v>304</v>
      </c>
      <c r="F6" s="262"/>
      <c r="G6" s="262"/>
      <c r="H6" s="262"/>
      <c r="I6" s="263"/>
      <c r="J6" s="2030"/>
      <c r="K6" s="2029"/>
      <c r="L6" s="2029"/>
      <c r="M6" s="2029"/>
      <c r="N6" s="2029"/>
      <c r="O6" s="2029"/>
      <c r="P6" s="2029"/>
      <c r="Q6" s="2029"/>
      <c r="R6" s="2029"/>
      <c r="S6" s="2029"/>
      <c r="T6" s="2029"/>
      <c r="U6" s="2029"/>
      <c r="V6" s="2029"/>
    </row>
    <row r="7" spans="1:22" ht="14.25">
      <c r="A7" s="3281"/>
      <c r="B7" s="3307"/>
      <c r="C7" s="3306"/>
      <c r="D7" s="3309"/>
      <c r="E7" s="261" t="s">
        <v>305</v>
      </c>
      <c r="F7" s="262"/>
      <c r="G7" s="262"/>
      <c r="H7" s="262"/>
      <c r="I7" s="263"/>
      <c r="J7" s="2030"/>
      <c r="K7" s="2029"/>
      <c r="L7" s="2029"/>
      <c r="M7" s="2029"/>
      <c r="N7" s="2029"/>
      <c r="O7" s="2029"/>
      <c r="P7" s="2029"/>
      <c r="Q7" s="2029"/>
      <c r="R7" s="2029"/>
      <c r="S7" s="2029"/>
      <c r="T7" s="2029"/>
      <c r="U7" s="2029"/>
      <c r="V7" s="2029"/>
    </row>
    <row r="8" spans="1:22" ht="14.25">
      <c r="A8" s="3281" t="s">
        <v>306</v>
      </c>
      <c r="B8" s="3307">
        <v>15</v>
      </c>
      <c r="C8" s="3305"/>
      <c r="D8" s="3309"/>
      <c r="E8" s="261" t="s">
        <v>307</v>
      </c>
      <c r="F8" s="262"/>
      <c r="G8" s="262"/>
      <c r="H8" s="262"/>
      <c r="I8" s="263"/>
      <c r="J8" s="2030"/>
      <c r="K8" s="2029"/>
      <c r="L8" s="2029"/>
      <c r="M8" s="2029"/>
      <c r="N8" s="2029"/>
      <c r="O8" s="2029"/>
      <c r="P8" s="2029"/>
      <c r="Q8" s="2029"/>
      <c r="R8" s="2029"/>
      <c r="S8" s="2029"/>
      <c r="T8" s="2029"/>
      <c r="U8" s="2029"/>
      <c r="V8" s="2029"/>
    </row>
    <row r="9" spans="1:22" ht="14.25">
      <c r="A9" s="3281"/>
      <c r="B9" s="3307"/>
      <c r="C9" s="3306"/>
      <c r="D9" s="3309"/>
      <c r="E9" s="261" t="s">
        <v>308</v>
      </c>
      <c r="F9" s="262"/>
      <c r="G9" s="262"/>
      <c r="H9" s="262"/>
      <c r="I9" s="263"/>
      <c r="J9" s="2030"/>
      <c r="K9" s="2029"/>
      <c r="L9" s="2029"/>
      <c r="M9" s="2029"/>
      <c r="N9" s="2029"/>
      <c r="O9" s="2029"/>
      <c r="P9" s="2029"/>
      <c r="Q9" s="2029"/>
      <c r="R9" s="2029"/>
      <c r="S9" s="2029"/>
      <c r="T9" s="2029"/>
      <c r="U9" s="2029"/>
      <c r="V9" s="2029"/>
    </row>
    <row r="10" spans="1:22" ht="14.25">
      <c r="A10" s="3281" t="s">
        <v>309</v>
      </c>
      <c r="B10" s="3307">
        <v>15</v>
      </c>
      <c r="C10" s="3305"/>
      <c r="D10" s="330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1"/>
      <c r="B11" s="3307"/>
      <c r="C11" s="3306"/>
      <c r="D11" s="330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1" t="s">
        <v>312</v>
      </c>
      <c r="B12" s="3307">
        <v>15</v>
      </c>
      <c r="C12" s="3305"/>
      <c r="D12" s="330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1"/>
      <c r="B13" s="3307"/>
      <c r="C13" s="3306"/>
      <c r="D13" s="330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1" t="s">
        <v>315</v>
      </c>
      <c r="B14" s="3307">
        <v>30</v>
      </c>
      <c r="C14" s="3305">
        <v>5</v>
      </c>
      <c r="D14" s="330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1"/>
      <c r="B15" s="3307"/>
      <c r="C15" s="3308"/>
      <c r="D15" s="3309"/>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1"/>
      <c r="B16" s="3307"/>
      <c r="C16" s="3306"/>
      <c r="D16" s="330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26533</v>
      </c>
      <c r="D19" s="271">
        <f ca="1">SUMIF(INDIRECT("'"&amp;D4&amp;"'"&amp;"!A:A"),结果表!B19,INDIRECT("'"&amp;D4&amp;"'"&amp;"!B:B"))</f>
        <v>31489</v>
      </c>
      <c r="E19" s="268" t="s">
        <v>323</v>
      </c>
      <c r="F19" s="269" t="s">
        <v>322</v>
      </c>
      <c r="G19" s="272">
        <f ca="1">ROUND(C19*$C$18+D19*$D$18,0)</f>
        <v>29011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339</v>
      </c>
      <c r="D20" s="277">
        <f ca="1">SUMIF(INDIRECT("'"&amp;D4&amp;"'"&amp;"!A:A"),结果表!B20,INDIRECT("'"&amp;D4&amp;"'"&amp;"!B:B"))</f>
        <v>402</v>
      </c>
      <c r="E20" s="274"/>
      <c r="F20" s="275" t="s">
        <v>325</v>
      </c>
      <c r="G20" s="278">
        <f ca="1">ROUND(C20*$C$18+D20*$D$18,0)</f>
        <v>371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949</v>
      </c>
      <c r="D21" s="151">
        <f ca="1">SUMIF(INDIRECT("'"&amp;D4&amp;"'"&amp;"!A:A"),结果表!B21,INDIRECT("'"&amp;D4&amp;"'"&amp;"!B:B"))</f>
        <v>1127</v>
      </c>
      <c r="E21" s="274"/>
      <c r="F21" s="280" t="s">
        <v>327</v>
      </c>
      <c r="G21" s="282">
        <f ca="1">ROUND(C21*$C$18+D21*$D$18,0)</f>
        <v>1038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0.18678626615912264</v>
      </c>
      <c r="E22" s="284"/>
      <c r="F22" s="285"/>
      <c r="G22" s="286">
        <f ca="1">ROUND(G19/('数据-汇总表'!D3/666.67),0)</f>
        <v>69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8"/>
      <c r="B25" s="1321" t="s">
        <v>2994</v>
      </c>
      <c r="C25" s="290">
        <f>IF(B30=0,0,C30)</f>
        <v>0</v>
      </c>
      <c r="D25" s="291"/>
      <c r="E25" s="311"/>
      <c r="F25" s="311"/>
      <c r="G25" s="311"/>
      <c r="H25" s="311"/>
      <c r="I25" s="311"/>
      <c r="J25" s="2029"/>
      <c r="K25" s="1255" t="str">
        <f ca="1">项目基本情况!B16&amp;"国有建设用地使用权价格："&amp;O38&amp;"万元"</f>
        <v>出让国有建设用地使用权价格：29011万元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大写金额：人民币贰亿玖仟零壹拾壹万元整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单位面积地价：1038元/平方米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楼面地价：371元/平方米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抵押价格：28728万元</v>
      </c>
      <c r="L29" s="1252"/>
      <c r="M29" s="1252"/>
      <c r="N29" s="1252"/>
      <c r="O29" s="1251"/>
      <c r="P29" s="2029"/>
      <c r="V29" s="2029"/>
    </row>
    <row r="30" spans="1:26" ht="18.75" thickBot="1">
      <c r="A30" s="3129" t="s">
        <v>335</v>
      </c>
      <c r="B30" s="309"/>
      <c r="C30" s="309"/>
      <c r="D30" s="310"/>
      <c r="E30" s="3130" t="s">
        <v>2968</v>
      </c>
      <c r="F30" s="311"/>
      <c r="G30" s="311"/>
      <c r="H30" s="311"/>
      <c r="I30" s="311"/>
      <c r="J30" s="2029"/>
      <c r="K30" s="1258" t="str">
        <f ca="1">IF(K29="——","——","大写金额：人民币"&amp;NUMBERSTRING(INT(O39*10000),2)&amp;"元整")</f>
        <v>大写金额：人民币贰亿捌仟柒佰贰拾捌万元整</v>
      </c>
      <c r="L30" s="1252"/>
      <c r="M30" s="1252"/>
      <c r="N30" s="1252"/>
      <c r="O30" s="1251"/>
      <c r="P30" s="2029"/>
      <c r="V30" s="2029"/>
    </row>
    <row r="31" spans="1:26" ht="24" customHeight="1" thickBot="1">
      <c r="A31" s="311"/>
      <c r="B31" s="311"/>
      <c r="C31" s="311"/>
      <c r="D31" s="311"/>
      <c r="E31" s="311"/>
      <c r="F31" s="311"/>
      <c r="G31" s="311"/>
      <c r="H31" s="311"/>
      <c r="I31" s="311"/>
      <c r="J31" s="2029"/>
      <c r="K31" s="2467" t="str">
        <f>IF(项目基本情况!E8="抵押价格","——","抵押担保权已注销时的抵押价格："&amp;O40&amp;"万元")</f>
        <v>——</v>
      </c>
      <c r="L31" s="2463"/>
      <c r="M31" s="2463"/>
      <c r="N31" s="2463"/>
      <c r="O31" s="2464"/>
      <c r="P31" s="2029"/>
      <c r="V31" s="2029"/>
    </row>
    <row r="32" spans="1:26" ht="18.75" thickBot="1">
      <c r="A32" s="268" t="s">
        <v>336</v>
      </c>
      <c r="B32" s="1382" t="s">
        <v>1688</v>
      </c>
      <c r="C32" s="1383">
        <f ca="1">G19-C24</f>
        <v>29011</v>
      </c>
      <c r="D32" s="1384" t="s">
        <v>1689</v>
      </c>
      <c r="E32" s="311"/>
      <c r="F32" s="311"/>
      <c r="G32" s="311"/>
      <c r="H32" s="311"/>
      <c r="I32" s="311"/>
      <c r="J32" s="2029"/>
      <c r="K32" s="2462" t="str">
        <f>IF(K31="——","——","大写金额：人民币"&amp;NUMBERSTRING(INT(O40*10000),2)&amp;"元整")</f>
        <v>——</v>
      </c>
      <c r="L32" s="2465"/>
      <c r="M32" s="2465"/>
      <c r="N32" s="2465"/>
      <c r="O32" s="2466"/>
      <c r="P32" s="2029"/>
      <c r="V32" s="2029"/>
    </row>
    <row r="33" spans="1:26" ht="18.75" thickBot="1">
      <c r="A33" s="298" t="s">
        <v>339</v>
      </c>
      <c r="B33" s="1385" t="s">
        <v>1690</v>
      </c>
      <c r="C33" s="264">
        <f ca="1">ROUND(C32*10000/'数据-汇总表'!E3,0)</f>
        <v>371</v>
      </c>
      <c r="D33" s="1386" t="s">
        <v>1691</v>
      </c>
      <c r="E33" s="3287"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1038</v>
      </c>
      <c r="D34" s="1388" t="s">
        <v>1691</v>
      </c>
      <c r="E34" s="3328"/>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69</v>
      </c>
      <c r="D35" s="1391" t="s">
        <v>1693</v>
      </c>
      <c r="E35" s="3329"/>
      <c r="F35" s="301" t="s">
        <v>341</v>
      </c>
      <c r="G35" s="982">
        <f>E37</f>
        <v>283</v>
      </c>
      <c r="H35" s="981" t="s">
        <v>342</v>
      </c>
      <c r="I35" s="311"/>
      <c r="J35" s="2029"/>
      <c r="K35" s="3302" t="s">
        <v>349</v>
      </c>
      <c r="L35" s="3302" t="s">
        <v>350</v>
      </c>
      <c r="M35" s="1264" t="s">
        <v>351</v>
      </c>
      <c r="N35" s="3302" t="s">
        <v>352</v>
      </c>
      <c r="O35" s="3302" t="s">
        <v>353</v>
      </c>
      <c r="P35" s="2029"/>
      <c r="V35" s="2029"/>
    </row>
    <row r="36" spans="1:26" ht="16.5" customHeight="1">
      <c r="A36" s="303" t="s">
        <v>343</v>
      </c>
      <c r="B36" s="304" t="s">
        <v>332</v>
      </c>
      <c r="C36" s="305" t="s">
        <v>344</v>
      </c>
      <c r="D36" s="305" t="s">
        <v>345</v>
      </c>
      <c r="E36" s="306" t="s">
        <v>346</v>
      </c>
      <c r="F36" s="311"/>
      <c r="G36" s="311"/>
      <c r="H36" s="311"/>
      <c r="I36" s="311"/>
      <c r="J36" s="2031"/>
      <c r="K36" s="3303"/>
      <c r="L36" s="3303"/>
      <c r="M36" s="1266" t="s">
        <v>354</v>
      </c>
      <c r="N36" s="3303"/>
      <c r="O36" s="3303"/>
      <c r="P36" s="2029"/>
      <c r="V36" s="2029"/>
    </row>
    <row r="37" spans="1:26" ht="16.5" customHeight="1" thickBot="1">
      <c r="A37" s="1260" t="s">
        <v>347</v>
      </c>
      <c r="B37" s="307">
        <v>6988.15</v>
      </c>
      <c r="C37" s="294">
        <v>4.0500000000000001E-2</v>
      </c>
      <c r="D37" s="294"/>
      <c r="E37" s="295">
        <f>ROUND(B37*C37,0)</f>
        <v>283</v>
      </c>
      <c r="F37" s="311"/>
      <c r="G37" s="311"/>
      <c r="H37" s="311"/>
      <c r="I37" s="311"/>
      <c r="J37" s="2031"/>
      <c r="K37" s="3304"/>
      <c r="L37" s="3304"/>
      <c r="M37" s="1267"/>
      <c r="N37" s="3304"/>
      <c r="O37" s="3304"/>
      <c r="P37" s="2029"/>
      <c r="V37" s="2029"/>
    </row>
    <row r="38" spans="1:26" ht="16.5" customHeight="1" thickBot="1">
      <c r="A38" s="1260" t="s">
        <v>348</v>
      </c>
      <c r="B38" s="307"/>
      <c r="C38" s="294"/>
      <c r="D38" s="294"/>
      <c r="E38" s="295"/>
      <c r="F38" s="311"/>
      <c r="G38" s="311"/>
      <c r="H38" s="311"/>
      <c r="I38" s="311"/>
      <c r="J38" s="2031"/>
      <c r="K38" s="1268">
        <f>'数据-汇总表'!D3</f>
        <v>279526</v>
      </c>
      <c r="L38" s="1269">
        <f>'数据-汇总表'!E3</f>
        <v>782672.8</v>
      </c>
      <c r="M38" s="1269">
        <f ca="1">C34</f>
        <v>1038</v>
      </c>
      <c r="N38" s="1269">
        <f ca="1">C33</f>
        <v>371</v>
      </c>
      <c r="O38" s="1270">
        <f ca="1">C32</f>
        <v>29011</v>
      </c>
      <c r="P38" s="2029"/>
      <c r="V38" s="2029"/>
    </row>
    <row r="39" spans="1:26" ht="16.5" customHeight="1" thickBot="1">
      <c r="A39" s="1265"/>
      <c r="B39" s="308"/>
      <c r="C39" s="309"/>
      <c r="D39" s="309"/>
      <c r="E39" s="310"/>
      <c r="F39" s="311"/>
      <c r="G39" s="311"/>
      <c r="H39" s="311"/>
      <c r="I39" s="311"/>
      <c r="J39" s="2031"/>
      <c r="K39" s="3347" t="str">
        <f>MID(A44,3,LEN(A44)-2)</f>
        <v>抵押价格</v>
      </c>
      <c r="L39" s="3348"/>
      <c r="M39" s="3348"/>
      <c r="N39" s="3349"/>
      <c r="O39" s="1393">
        <f ca="1">C44</f>
        <v>28728</v>
      </c>
      <c r="P39" s="2029"/>
      <c r="V39" s="2029"/>
    </row>
    <row r="40" spans="1:26" ht="19.5" thickBot="1">
      <c r="A40" s="104" t="s">
        <v>872</v>
      </c>
      <c r="B40" s="311"/>
      <c r="C40" s="311"/>
      <c r="D40" s="311"/>
      <c r="E40" s="311"/>
      <c r="F40" s="311"/>
      <c r="G40" s="311"/>
      <c r="H40" s="311"/>
      <c r="I40" s="311"/>
      <c r="J40" s="2031"/>
      <c r="K40" s="3347" t="str">
        <f t="shared" ref="K40:K41" si="0">MID(A45,3,LEN(A45)-2)</f>
        <v/>
      </c>
      <c r="L40" s="3348"/>
      <c r="M40" s="3348"/>
      <c r="N40" s="3349"/>
      <c r="O40" s="1393" t="str">
        <f>C45</f>
        <v>——</v>
      </c>
      <c r="P40" s="2029"/>
      <c r="V40" s="2029"/>
    </row>
    <row r="41" spans="1:26" ht="16.5" thickBot="1">
      <c r="A41" s="312" t="s">
        <v>355</v>
      </c>
      <c r="B41" s="313"/>
      <c r="C41" s="314" t="s">
        <v>356</v>
      </c>
      <c r="D41" s="315" t="s">
        <v>357</v>
      </c>
      <c r="E41" s="315" t="s">
        <v>358</v>
      </c>
      <c r="F41" s="316" t="s">
        <v>359</v>
      </c>
      <c r="G41" s="311"/>
      <c r="H41" s="311"/>
      <c r="I41" s="311"/>
      <c r="J41" s="2031"/>
      <c r="K41" s="3347" t="str">
        <f t="shared" si="0"/>
        <v/>
      </c>
      <c r="L41" s="3348"/>
      <c r="M41" s="3348"/>
      <c r="N41" s="3349"/>
      <c r="O41" s="1393" t="str">
        <f>C46</f>
        <v>——</v>
      </c>
      <c r="P41" s="2029"/>
      <c r="V41" s="2029"/>
    </row>
    <row r="42" spans="1:26" ht="29.25">
      <c r="A42" s="3289" t="s">
        <v>2068</v>
      </c>
      <c r="B42" s="3290"/>
      <c r="C42" s="264">
        <f ca="1">C32</f>
        <v>29011</v>
      </c>
      <c r="D42" s="317">
        <f ca="1">C33</f>
        <v>371</v>
      </c>
      <c r="E42" s="317">
        <f ca="1">C34</f>
        <v>1038</v>
      </c>
      <c r="F42" s="318">
        <f ca="1">C35</f>
        <v>69</v>
      </c>
      <c r="G42" s="311"/>
      <c r="H42" s="311"/>
      <c r="I42" s="319"/>
      <c r="J42" s="2031"/>
      <c r="K42" s="1271" t="s">
        <v>360</v>
      </c>
      <c r="L42" s="2048" t="s">
        <v>361</v>
      </c>
      <c r="M42" s="1272" t="s">
        <v>362</v>
      </c>
      <c r="N42" s="2049" t="s">
        <v>363</v>
      </c>
      <c r="O42" s="2050" t="s">
        <v>364</v>
      </c>
      <c r="P42" s="2029"/>
      <c r="V42" s="2029"/>
    </row>
    <row r="43" spans="1:26" ht="30">
      <c r="A43" s="3300" t="s">
        <v>2729</v>
      </c>
      <c r="B43" s="3301"/>
      <c r="C43" s="264">
        <f>IF(H33="正常操作",G33+G34+G35,G34+G35)</f>
        <v>283</v>
      </c>
      <c r="D43" s="317" t="s">
        <v>43</v>
      </c>
      <c r="E43" s="317" t="s">
        <v>44</v>
      </c>
      <c r="F43" s="318" t="s">
        <v>44</v>
      </c>
      <c r="G43" s="2865" t="s">
        <v>951</v>
      </c>
      <c r="H43" s="311"/>
      <c r="I43" s="319"/>
      <c r="J43" s="2031"/>
      <c r="K43" s="1273" t="str">
        <f>C4</f>
        <v>比较法-住宅、综合</v>
      </c>
      <c r="L43" s="1274">
        <f ca="1">IF(L42="估价结果/万元",C19,C20)</f>
        <v>26533</v>
      </c>
      <c r="M43" s="1275">
        <f>C18</f>
        <v>0.5</v>
      </c>
      <c r="N43" s="1276">
        <f ca="1">IF(N42="测算结果/万元",G19,G20)</f>
        <v>29011</v>
      </c>
      <c r="O43" s="1277">
        <f ca="1">IF(O42="最终结果/万元",C32,C33)</f>
        <v>29011</v>
      </c>
      <c r="P43" s="2029"/>
      <c r="V43" s="2029"/>
    </row>
    <row r="44" spans="1:26" ht="30.75" thickBot="1">
      <c r="A44" s="3289" t="str">
        <f>IF(OR(项目基本情况!E8="抵押价格",项目基本情况!E8="已注销及未注销"),"3.抵押价格","——")</f>
        <v>3.抵押价格</v>
      </c>
      <c r="B44" s="3290"/>
      <c r="C44" s="264">
        <f ca="1">IF(A44="——","——",C42-C43)</f>
        <v>28728</v>
      </c>
      <c r="D44" s="317">
        <f ca="1">ROUND(C44*10000/'数据-汇总表'!E3,0)</f>
        <v>367</v>
      </c>
      <c r="E44" s="317">
        <f ca="1">ROUND(C44*10000/'数据-汇总表'!D3,0)</f>
        <v>1028</v>
      </c>
      <c r="F44" s="318">
        <f ca="1">ROUND(C44/('数据-汇总表'!D3/666.67),0)</f>
        <v>69</v>
      </c>
      <c r="G44" s="311"/>
      <c r="H44" s="311"/>
      <c r="I44" s="319"/>
      <c r="J44" s="2031"/>
      <c r="K44" s="1278" t="str">
        <f>D4</f>
        <v>剩余法-待开发</v>
      </c>
      <c r="L44" s="1279">
        <f ca="1">IF(L42="估价结果/万元",D19,D20)</f>
        <v>31489</v>
      </c>
      <c r="M44" s="1280">
        <f>D18</f>
        <v>0.5</v>
      </c>
      <c r="N44" s="1281"/>
      <c r="O44" s="1282"/>
      <c r="P44" s="2029"/>
      <c r="V44" s="2029"/>
    </row>
    <row r="45" spans="1:26" ht="15">
      <c r="A45" s="3295" t="str">
        <f>IF(项目基本情况!E8="已注销及未注销","4.抵押担保权已注销时的抵押价格",IF(项目基本情况!E8="已注销","3.抵押担保权已注销时的抵押价格","——"))</f>
        <v>——</v>
      </c>
      <c r="B45" s="329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本次评估估价师知悉的法定优先受偿款为人民币283万元整。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6" t="s">
        <v>373</v>
      </c>
      <c r="B63" s="3337"/>
      <c r="C63" s="3338"/>
      <c r="D63" s="341">
        <f ca="1">ROUND(C42*F63,0)</f>
        <v>17407</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297" t="s">
        <v>377</v>
      </c>
      <c r="B64" s="3298"/>
      <c r="C64" s="3298"/>
      <c r="D64" s="3298"/>
      <c r="E64" s="3298"/>
      <c r="F64" s="3298"/>
      <c r="G64" s="3299"/>
      <c r="H64" s="1288"/>
      <c r="I64" s="948"/>
      <c r="J64" s="1991"/>
      <c r="K64" s="1562"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293" t="s">
        <v>385</v>
      </c>
      <c r="B66" s="3294"/>
      <c r="C66" s="3294"/>
      <c r="D66" s="261">
        <f ca="1">IF(H66="情况1",0,IF(H66="情况2",D70,IF(H66="情况3",D71,IF(H66="情况4",D72))))</f>
        <v>912</v>
      </c>
      <c r="E66" s="993" t="str">
        <f>IF(H66="情况4","(销售额-原购置价)×税（费）率","销售额×税（费）率")</f>
        <v>销售额×税（费）率</v>
      </c>
      <c r="F66" s="350">
        <f>IF(H66="情况1","免征",'数据-取费表'!B41)</f>
        <v>5.5000000000000007E-2</v>
      </c>
      <c r="G66" s="351" t="s">
        <v>386</v>
      </c>
      <c r="H66" s="191" t="s">
        <v>387</v>
      </c>
      <c r="I66" s="1288"/>
      <c r="J66" s="2035"/>
      <c r="K66" s="1291">
        <v>1</v>
      </c>
      <c r="L66" s="3351" t="s">
        <v>384</v>
      </c>
      <c r="M66" s="3352"/>
      <c r="N66" s="2457"/>
      <c r="O66" s="2458"/>
      <c r="P66" s="2459"/>
      <c r="Q66" s="2029"/>
      <c r="R66" s="2029"/>
      <c r="S66" s="2029"/>
      <c r="T66" s="2029"/>
      <c r="U66" s="2029"/>
      <c r="V66" s="2029"/>
    </row>
    <row r="67" spans="1:22" ht="25.5" customHeight="1">
      <c r="A67" s="352" t="s">
        <v>389</v>
      </c>
      <c r="B67" s="3284" t="s">
        <v>390</v>
      </c>
      <c r="C67" s="3284"/>
      <c r="D67" s="353">
        <v>0</v>
      </c>
      <c r="E67" s="41" t="s">
        <v>391</v>
      </c>
      <c r="F67" s="62" t="s">
        <v>21</v>
      </c>
      <c r="G67" s="3339"/>
      <c r="H67" s="311"/>
      <c r="I67" s="1292"/>
      <c r="J67" s="2036"/>
      <c r="K67" s="1977">
        <v>2</v>
      </c>
      <c r="L67" s="3350" t="s">
        <v>388</v>
      </c>
      <c r="M67" s="3350"/>
      <c r="N67" s="1325">
        <f>'数据-取费表'!B2</f>
        <v>43426</v>
      </c>
      <c r="O67" s="1325"/>
      <c r="P67" s="1325"/>
      <c r="Q67" s="2029"/>
      <c r="R67" s="2029"/>
      <c r="S67" s="2029"/>
      <c r="T67" s="2029"/>
      <c r="U67" s="2029"/>
      <c r="V67" s="2029"/>
    </row>
    <row r="68" spans="1:22" ht="25.5" customHeight="1">
      <c r="A68" s="354"/>
      <c r="B68" s="3284" t="s">
        <v>393</v>
      </c>
      <c r="C68" s="3284"/>
      <c r="D68" s="355"/>
      <c r="E68" s="77"/>
      <c r="F68" s="356"/>
      <c r="G68" s="3340"/>
      <c r="H68" s="311"/>
      <c r="I68" s="1292"/>
      <c r="J68" s="2036"/>
      <c r="K68" s="1977">
        <v>3</v>
      </c>
      <c r="L68" s="3350" t="s">
        <v>392</v>
      </c>
      <c r="M68" s="3350"/>
      <c r="N68" s="1293">
        <f ca="1">C42</f>
        <v>29011</v>
      </c>
      <c r="O68" s="1293"/>
      <c r="P68" s="1293"/>
      <c r="Q68" s="2029"/>
      <c r="R68" s="2029"/>
      <c r="S68" s="2029"/>
      <c r="T68" s="2029"/>
      <c r="U68" s="2029"/>
      <c r="V68" s="2029"/>
    </row>
    <row r="69" spans="1:22" ht="12" customHeight="1">
      <c r="A69" s="357"/>
      <c r="B69" s="3284" t="s">
        <v>394</v>
      </c>
      <c r="C69" s="3284"/>
      <c r="D69" s="358"/>
      <c r="E69" s="73"/>
      <c r="F69" s="356"/>
      <c r="G69" s="3341"/>
      <c r="H69" s="311"/>
      <c r="I69" s="1292"/>
      <c r="J69" s="2036"/>
      <c r="K69" s="1294">
        <v>4</v>
      </c>
      <c r="L69" s="3355" t="s">
        <v>2882</v>
      </c>
      <c r="M69" s="3356"/>
      <c r="N69" s="1295">
        <f ca="1">C44</f>
        <v>28728</v>
      </c>
      <c r="O69" s="1295"/>
      <c r="P69" s="1295"/>
      <c r="Q69" s="2029"/>
      <c r="R69" s="2029"/>
      <c r="S69" s="2029"/>
      <c r="T69" s="2029"/>
      <c r="U69" s="2029"/>
      <c r="V69" s="2029"/>
    </row>
    <row r="70" spans="1:22" ht="24" customHeight="1">
      <c r="A70" s="359" t="s">
        <v>395</v>
      </c>
      <c r="B70" s="3284" t="s">
        <v>396</v>
      </c>
      <c r="C70" s="3284"/>
      <c r="D70" s="358">
        <f ca="1">ROUND(D63*'数据-取费表'!B41/(1+'数据-取费表'!C42),0)</f>
        <v>912</v>
      </c>
      <c r="E70" s="17" t="s">
        <v>397</v>
      </c>
      <c r="F70" s="360">
        <f>'数据-取费表'!B41</f>
        <v>5.5000000000000007E-2</v>
      </c>
      <c r="G70" s="361"/>
      <c r="H70" s="311"/>
      <c r="I70" s="1292"/>
      <c r="J70" s="2036"/>
      <c r="K70" s="3061"/>
      <c r="L70" s="3062"/>
      <c r="M70" s="3062"/>
      <c r="N70" s="3063" t="s">
        <v>2887</v>
      </c>
      <c r="O70" s="3062"/>
      <c r="P70" s="3064"/>
      <c r="Q70" s="2029"/>
      <c r="R70" s="2029"/>
      <c r="S70" s="2029"/>
      <c r="T70" s="2029"/>
      <c r="U70" s="2029"/>
      <c r="V70" s="2029"/>
    </row>
    <row r="71" spans="1:22" ht="12" customHeight="1">
      <c r="A71" s="359" t="s">
        <v>403</v>
      </c>
      <c r="B71" s="3285" t="s">
        <v>404</v>
      </c>
      <c r="C71" s="3286"/>
      <c r="D71" s="358">
        <f ca="1">ROUND(D63*'数据-取费表'!B41/(1+'数据-取费表'!C42),0)</f>
        <v>912</v>
      </c>
      <c r="E71" s="17" t="s">
        <v>397</v>
      </c>
      <c r="F71" s="360">
        <f>'数据-取费表'!B41</f>
        <v>5.5000000000000007E-2</v>
      </c>
      <c r="G71" s="361"/>
      <c r="H71" s="311"/>
      <c r="I71" s="1292"/>
      <c r="J71" s="2036"/>
      <c r="K71" s="3060" t="s">
        <v>398</v>
      </c>
      <c r="L71" s="3357" t="s">
        <v>399</v>
      </c>
      <c r="M71" s="3357"/>
      <c r="N71" s="3060" t="s">
        <v>400</v>
      </c>
      <c r="O71" s="3060" t="s">
        <v>401</v>
      </c>
      <c r="P71" s="3060" t="s">
        <v>402</v>
      </c>
      <c r="Q71" s="2029"/>
      <c r="R71" s="2029"/>
      <c r="S71" s="2029"/>
      <c r="T71" s="2029"/>
      <c r="U71" s="2029"/>
      <c r="V71" s="2029"/>
    </row>
    <row r="72" spans="1:22" ht="12" customHeight="1">
      <c r="A72" s="359" t="s">
        <v>406</v>
      </c>
      <c r="B72" s="3285" t="s">
        <v>407</v>
      </c>
      <c r="C72" s="3286"/>
      <c r="D72" s="358">
        <f ca="1">C86</f>
        <v>802</v>
      </c>
      <c r="E72" s="73" t="s">
        <v>408</v>
      </c>
      <c r="F72" s="360">
        <f>'数据-取费表'!B41</f>
        <v>5.5000000000000007E-2</v>
      </c>
      <c r="G72" s="361"/>
      <c r="H72" s="1298"/>
      <c r="I72" s="1292"/>
      <c r="J72" s="2036"/>
      <c r="K72" s="1977">
        <v>1</v>
      </c>
      <c r="L72" s="3332" t="s">
        <v>405</v>
      </c>
      <c r="M72" s="3332"/>
      <c r="N72" s="1296">
        <f ca="1">D66</f>
        <v>912</v>
      </c>
      <c r="O72" s="1860" t="str">
        <f>E66</f>
        <v>销售额×税（费）率</v>
      </c>
      <c r="P72" s="1297">
        <f>F66</f>
        <v>5.5000000000000007E-2</v>
      </c>
      <c r="Q72" s="2029"/>
      <c r="R72" s="2029"/>
      <c r="S72" s="2029"/>
      <c r="T72" s="2029"/>
      <c r="U72" s="2029"/>
      <c r="V72" s="2029"/>
    </row>
    <row r="73" spans="1:22" ht="24" customHeight="1">
      <c r="A73" s="3326" t="s">
        <v>410</v>
      </c>
      <c r="B73" s="3294"/>
      <c r="C73" s="3294"/>
      <c r="D73" s="362">
        <f>IF(H73="个人住宅",0,ROUND(D63*I73,0))</f>
        <v>0</v>
      </c>
      <c r="E73" s="17" t="s">
        <v>411</v>
      </c>
      <c r="F73" s="360" t="str">
        <f>IF(H73="正常",I73,"免征")</f>
        <v>免征</v>
      </c>
      <c r="G73" s="361"/>
      <c r="H73" s="191" t="s">
        <v>2454</v>
      </c>
      <c r="I73" s="360">
        <f>'数据-取费表'!B49</f>
        <v>5.0000000000000001E-4</v>
      </c>
      <c r="J73" s="2036"/>
      <c r="K73" s="1977">
        <v>2</v>
      </c>
      <c r="L73" s="3332" t="s">
        <v>409</v>
      </c>
      <c r="M73" s="3332"/>
      <c r="N73" s="1296">
        <f t="shared" ref="N73:P74" si="1">D73</f>
        <v>0</v>
      </c>
      <c r="O73" s="1860" t="str">
        <f t="shared" si="1"/>
        <v>销售额×税（费）率</v>
      </c>
      <c r="P73" s="1297" t="str">
        <f t="shared" si="1"/>
        <v>免征</v>
      </c>
      <c r="Q73" s="2029"/>
      <c r="R73" s="2029"/>
      <c r="S73" s="2029"/>
      <c r="T73" s="2029"/>
      <c r="U73" s="2029"/>
      <c r="V73" s="2029"/>
    </row>
    <row r="74" spans="1:22" ht="24.75">
      <c r="A74" s="3326" t="s">
        <v>414</v>
      </c>
      <c r="B74" s="3294"/>
      <c r="C74" s="3294"/>
      <c r="D74" s="362">
        <f ca="1">IF(H74="个人住宅",D75,D76)</f>
        <v>9208</v>
      </c>
      <c r="E74" s="17" t="s">
        <v>415</v>
      </c>
      <c r="F74" s="360" t="str">
        <f>IF(H74="正常",F76,"免征")</f>
        <v>——</v>
      </c>
      <c r="G74" s="983" t="s">
        <v>416</v>
      </c>
      <c r="H74" s="363" t="s">
        <v>412</v>
      </c>
      <c r="I74" s="42"/>
      <c r="J74" s="2036"/>
      <c r="K74" s="1977">
        <v>3</v>
      </c>
      <c r="L74" s="3332" t="s">
        <v>413</v>
      </c>
      <c r="M74" s="3332"/>
      <c r="N74" s="1296">
        <f t="shared" ca="1" si="1"/>
        <v>9208</v>
      </c>
      <c r="O74" s="1860" t="str">
        <f t="shared" si="1"/>
        <v>增值额×税（费）率</v>
      </c>
      <c r="P74" s="1299" t="str">
        <f t="shared" si="1"/>
        <v>——</v>
      </c>
      <c r="Q74" s="2029"/>
      <c r="R74" s="2029"/>
      <c r="S74" s="2029"/>
      <c r="T74" s="2029"/>
      <c r="U74" s="2029"/>
      <c r="V74" s="2029"/>
    </row>
    <row r="75" spans="1:22" ht="24">
      <c r="A75" s="359" t="s">
        <v>417</v>
      </c>
      <c r="B75" s="3282" t="s">
        <v>418</v>
      </c>
      <c r="C75" s="3312"/>
      <c r="D75" s="364">
        <v>0</v>
      </c>
      <c r="E75" s="41" t="s">
        <v>419</v>
      </c>
      <c r="F75" s="365"/>
      <c r="G75" s="361"/>
      <c r="H75" s="42"/>
      <c r="I75" s="42"/>
      <c r="J75" s="2036"/>
      <c r="K75" s="3053">
        <f>IF(H77="非个人房产","",4)</f>
        <v>4</v>
      </c>
      <c r="L75" s="3332" t="str">
        <f>IF(H77="非个人房产","——","个人所得税")</f>
        <v>个人所得税</v>
      </c>
      <c r="M75" s="3332"/>
      <c r="N75" s="1300">
        <f ca="1">D77</f>
        <v>174</v>
      </c>
      <c r="O75" s="1873" t="str">
        <f>E77</f>
        <v>销售额×税（费）率</v>
      </c>
      <c r="P75" s="1301">
        <f>F77</f>
        <v>0.01</v>
      </c>
      <c r="Q75" s="2029"/>
      <c r="R75" s="2029"/>
      <c r="S75" s="2029"/>
      <c r="T75" s="2029"/>
      <c r="U75" s="2029"/>
      <c r="V75" s="2029"/>
    </row>
    <row r="76" spans="1:22" ht="24.75">
      <c r="A76" s="359" t="s">
        <v>395</v>
      </c>
      <c r="B76" s="3282" t="s">
        <v>421</v>
      </c>
      <c r="C76" s="3283"/>
      <c r="D76" s="362">
        <f ca="1">IF(H76="转让取得",C99,C115)</f>
        <v>9208</v>
      </c>
      <c r="E76" s="17" t="s">
        <v>422</v>
      </c>
      <c r="F76" s="53" t="s">
        <v>21</v>
      </c>
      <c r="G76" s="361"/>
      <c r="H76" s="363" t="s">
        <v>423</v>
      </c>
      <c r="I76" s="42"/>
      <c r="J76" s="2036"/>
      <c r="K76" s="3053"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9"/>
      <c r="R76" s="2029"/>
      <c r="S76" s="2029"/>
      <c r="T76" s="2029"/>
      <c r="U76" s="2029"/>
      <c r="V76" s="2029"/>
    </row>
    <row r="77" spans="1:22" ht="26.25" thickBot="1">
      <c r="A77" s="3334" t="s">
        <v>425</v>
      </c>
      <c r="B77" s="3335"/>
      <c r="C77" s="3335"/>
      <c r="D77" s="366">
        <f ca="1">IF(H77="非个人房产","——",IF(H77="个人住宅",0,ROUND(D63*I77,0)))</f>
        <v>174</v>
      </c>
      <c r="E77" s="367" t="str">
        <f>IF(H77="非个人房产","——","销售额×税（费）率")</f>
        <v>销售额×税（费）率</v>
      </c>
      <c r="F77" s="368">
        <f>IF(H77="非个人房产","——",IF(H77="个人住宅","免征",I77))</f>
        <v>0.01</v>
      </c>
      <c r="G77" s="984" t="s">
        <v>416</v>
      </c>
      <c r="H77" s="363" t="s">
        <v>2883</v>
      </c>
      <c r="I77" s="369">
        <v>0.01</v>
      </c>
      <c r="J77" s="2036"/>
      <c r="K77" s="3333">
        <f>IF(AND(K75="",K76=""),4,IF(项目基本情况!K6="上海银行",K76+1,K75+1))</f>
        <v>5</v>
      </c>
      <c r="L77" s="3332" t="s">
        <v>2884</v>
      </c>
      <c r="M77" s="3059" t="s">
        <v>420</v>
      </c>
      <c r="N77" s="1302"/>
      <c r="O77" s="1303">
        <f ca="1">SUMIF(N72:N76,"&lt;9e307")</f>
        <v>10294</v>
      </c>
      <c r="P77" s="1304"/>
      <c r="Q77" s="3057">
        <f ca="1">O77/N69</f>
        <v>0.35832637148426622</v>
      </c>
      <c r="R77" s="2029"/>
      <c r="S77" s="2029"/>
      <c r="T77" s="2029"/>
      <c r="U77" s="2029"/>
      <c r="V77" s="2029"/>
    </row>
    <row r="78" spans="1:22" ht="12" customHeight="1">
      <c r="A78" s="1305"/>
      <c r="B78" s="311"/>
      <c r="C78" s="311"/>
      <c r="D78" s="311"/>
      <c r="E78" s="42"/>
      <c r="F78" s="42"/>
      <c r="G78" s="42"/>
      <c r="H78" s="1003"/>
      <c r="I78" s="311"/>
      <c r="J78" s="2036"/>
      <c r="K78" s="3333"/>
      <c r="L78" s="3332"/>
      <c r="M78" s="3059" t="s">
        <v>424</v>
      </c>
      <c r="N78" s="1302"/>
      <c r="O78" s="1303" t="str">
        <f ca="1">NUMBERSTRING(INT(O77*10000),2)&amp;"元整"</f>
        <v>壹亿零贰佰玖拾肆万元整</v>
      </c>
      <c r="P78" s="1304"/>
      <c r="Q78" s="2029"/>
      <c r="R78" s="2029"/>
      <c r="S78" s="2029"/>
      <c r="T78" s="2029"/>
      <c r="U78" s="2029"/>
      <c r="V78" s="2029"/>
    </row>
    <row r="79" spans="1:22" ht="13.5" thickBot="1">
      <c r="A79" s="3327" t="s">
        <v>426</v>
      </c>
      <c r="B79" s="3327"/>
      <c r="C79" s="3327"/>
      <c r="D79" s="3327"/>
      <c r="E79" s="3327"/>
      <c r="F79" s="42"/>
      <c r="G79" s="42"/>
      <c r="H79" s="1003"/>
      <c r="I79" s="311"/>
      <c r="J79" s="2036"/>
      <c r="K79" s="3353">
        <f>K77+1</f>
        <v>6</v>
      </c>
      <c r="L79" s="3332" t="s">
        <v>2885</v>
      </c>
      <c r="M79" s="3059" t="s">
        <v>420</v>
      </c>
      <c r="N79" s="1302"/>
      <c r="O79" s="1303">
        <f ca="1">N69-O77</f>
        <v>18434</v>
      </c>
      <c r="P79" s="1304"/>
      <c r="Q79" s="2029"/>
      <c r="R79" s="2029"/>
      <c r="S79" s="2029"/>
      <c r="T79" s="2029"/>
      <c r="U79" s="2029"/>
      <c r="V79" s="2029"/>
    </row>
    <row r="80" spans="1:22" ht="25.5">
      <c r="A80" s="3322" t="s">
        <v>427</v>
      </c>
      <c r="B80" s="3323"/>
      <c r="C80" s="994"/>
      <c r="D80" s="994" t="s">
        <v>428</v>
      </c>
      <c r="E80" s="370" t="s">
        <v>429</v>
      </c>
      <c r="F80" s="42"/>
      <c r="G80" s="42"/>
      <c r="H80" s="1003"/>
      <c r="I80" s="311"/>
      <c r="J80" s="2029"/>
      <c r="K80" s="3354"/>
      <c r="L80" s="3332"/>
      <c r="M80" s="3059" t="s">
        <v>424</v>
      </c>
      <c r="N80" s="1302"/>
      <c r="O80" s="1303" t="str">
        <f ca="1">NUMBERSTRING(INT(O79*10000),2)&amp;"元整"</f>
        <v>壹亿捌仟肆佰叁拾肆万元整</v>
      </c>
      <c r="P80" s="1304"/>
      <c r="Q80" s="2029"/>
      <c r="R80" s="2029"/>
      <c r="S80" s="2029"/>
      <c r="T80" s="2029"/>
      <c r="U80" s="2029"/>
      <c r="V80" s="2029"/>
    </row>
    <row r="81" spans="1:26" ht="13.5" thickBot="1">
      <c r="A81" s="381" t="s">
        <v>1823</v>
      </c>
      <c r="B81" s="371" t="s">
        <v>430</v>
      </c>
      <c r="C81" s="372">
        <f ca="1">ROUND((C82+C83)/(1+'数据-取费表'!C42),0)</f>
        <v>16578</v>
      </c>
      <c r="D81" s="373"/>
      <c r="E81" s="374"/>
      <c r="F81" s="42"/>
      <c r="G81" s="42"/>
      <c r="H81" s="1003"/>
      <c r="I81" s="311"/>
      <c r="J81" s="2029"/>
      <c r="K81" s="3053">
        <f>K79+1</f>
        <v>7</v>
      </c>
      <c r="L81" s="3330" t="s">
        <v>2886</v>
      </c>
      <c r="M81" s="3331"/>
      <c r="N81" s="1306"/>
      <c r="O81" s="1307">
        <f ca="1">ROUND(O79*10000/'数据-汇总表'!E3,0)</f>
        <v>236</v>
      </c>
      <c r="P81" s="1308"/>
      <c r="Q81" s="2029"/>
      <c r="R81" s="2029"/>
      <c r="S81" s="2029"/>
      <c r="T81" s="2029"/>
      <c r="U81" s="2029"/>
      <c r="V81" s="2029"/>
    </row>
    <row r="82" spans="1:26" ht="13.5" thickTop="1">
      <c r="A82" s="375" t="s">
        <v>1824</v>
      </c>
      <c r="B82" s="376" t="s">
        <v>431</v>
      </c>
      <c r="C82" s="377">
        <f ca="1">D63</f>
        <v>17407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42" t="s">
        <v>2873</v>
      </c>
      <c r="L83" s="3065" t="s">
        <v>2874</v>
      </c>
      <c r="M83" s="3055">
        <f ca="1">IF(N69&gt;10000,N69*0.5%,IF(AND(N69&gt;1000,N69&lt;=10000),N69*1%,IF(AND(N69&gt;100,N69&lt;=1000),N69*3%,IF(AND(N69&gt;10,N69&lt;=100),N69*5%,N69*8%))))</f>
        <v>143.64000000000001</v>
      </c>
      <c r="N83" s="53">
        <f ca="1">ROUND(M83,1)</f>
        <v>143.6</v>
      </c>
      <c r="O83" s="3058"/>
      <c r="P83" s="2029"/>
      <c r="Q83" s="2029"/>
      <c r="R83" s="2029"/>
      <c r="S83" s="2029"/>
      <c r="T83" s="2029"/>
      <c r="U83" s="2029"/>
      <c r="V83" s="2029"/>
    </row>
    <row r="84" spans="1:26" ht="12.75">
      <c r="A84" s="381" t="s">
        <v>1826</v>
      </c>
      <c r="B84" s="382" t="s">
        <v>433</v>
      </c>
      <c r="C84" s="383">
        <v>2000</v>
      </c>
      <c r="D84" s="384" t="s">
        <v>19</v>
      </c>
      <c r="E84" s="3100" t="s">
        <v>2940</v>
      </c>
      <c r="F84" s="42"/>
      <c r="G84" s="42"/>
      <c r="H84" s="1003"/>
      <c r="I84" s="311"/>
      <c r="J84" s="2029"/>
      <c r="K84" s="3342"/>
      <c r="L84" s="3065" t="s">
        <v>2875</v>
      </c>
      <c r="M84" s="3055">
        <f ca="1">IF(N69&gt;2000,N69*0.5%,IF(AND(N69&gt;1000,N69&lt;=2000),N69*0.6%,IF(AND(N69&gt;500,N69&lt;=1000),N69*0.7%,IF(AND(N69&gt;200,N69&lt;=500),N69*0.8%,IF(AND(N69&gt;100,N69&lt;=200),N69*0.9%,IF(AND(N69&gt;50,N69&lt;=100),N69*1%,IF(AND(N69&gt;20,N69&lt;=50),N69*1.5%,IF(AND(N69&gt;10,N69&lt;=20),N69*2%,IF(AND(N69&gt;1,N69&lt;=10),N69*2.5%)))))))))</f>
        <v>143.64000000000001</v>
      </c>
      <c r="N84" s="53">
        <f t="shared" ref="N84:N85" ca="1" si="2">ROUND(M84,1)</f>
        <v>143.6</v>
      </c>
      <c r="O84" s="2029" t="s">
        <v>2876</v>
      </c>
      <c r="P84" s="2029"/>
      <c r="Q84" s="2029"/>
      <c r="R84" s="2029"/>
      <c r="S84" s="2029"/>
      <c r="T84" s="2029"/>
      <c r="U84" s="2029"/>
      <c r="V84" s="2029"/>
    </row>
    <row r="85" spans="1:26" ht="12.75">
      <c r="A85" s="381" t="s">
        <v>1827</v>
      </c>
      <c r="B85" s="382" t="s">
        <v>434</v>
      </c>
      <c r="C85" s="385">
        <f ca="1">C81-C84</f>
        <v>14578</v>
      </c>
      <c r="D85" s="378" t="s">
        <v>19</v>
      </c>
      <c r="E85" s="379"/>
      <c r="F85" s="42"/>
      <c r="G85" s="42"/>
      <c r="H85" s="1003"/>
      <c r="I85" s="311"/>
      <c r="J85" s="2029"/>
      <c r="K85" s="3342"/>
      <c r="L85" s="3065" t="s">
        <v>2877</v>
      </c>
      <c r="M85" s="3055">
        <f ca="1">IF(N69&gt;1000,N69*0.1%,IF(AND(N69&gt;500,N69&lt;=1000),N69*0.5%,IF(AND(N69&gt;50,N69&lt;=500),N69*1%,IF(AND(N69&gt;1,N69&lt;=50),N69*1.5%))))</f>
        <v>28.728000000000002</v>
      </c>
      <c r="N85" s="53">
        <f t="shared" ca="1" si="2"/>
        <v>28.7</v>
      </c>
      <c r="O85" s="2029" t="s">
        <v>2876</v>
      </c>
      <c r="P85" s="2029"/>
      <c r="Q85" s="2029"/>
      <c r="R85" s="2029"/>
      <c r="S85" s="2029"/>
      <c r="T85" s="2029"/>
      <c r="U85" s="2029"/>
      <c r="V85" s="2029"/>
    </row>
    <row r="86" spans="1:26" ht="13.5" thickBot="1">
      <c r="A86" s="386" t="s">
        <v>1828</v>
      </c>
      <c r="B86" s="387" t="s">
        <v>435</v>
      </c>
      <c r="C86" s="388">
        <f ca="1">IF(C85&lt;=0,0,ROUND(C85*D86,0))</f>
        <v>802</v>
      </c>
      <c r="D86" s="389">
        <f>'数据-取费表'!B41</f>
        <v>5.5000000000000007E-2</v>
      </c>
      <c r="E86" s="390"/>
      <c r="F86" s="42"/>
      <c r="G86" s="42"/>
      <c r="H86" s="1003"/>
      <c r="I86" s="311"/>
      <c r="J86" s="2029"/>
      <c r="K86" s="3342"/>
      <c r="L86" s="3065" t="s">
        <v>2878</v>
      </c>
      <c r="M86" s="3055">
        <f ca="1">N69*0.5%</f>
        <v>143.64000000000001</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2"/>
      <c r="L87" s="3065" t="s">
        <v>2880</v>
      </c>
      <c r="M87" s="3055">
        <f ca="1">IF(N69&gt;=10000,(8.25+(N69-10000)*0.01%),IF(AND(N69&gt;=8000,N69&lt;10000),(7.85+(N69-8000)*0.02%),IF(AND(N69&gt;=5000,N69&lt;8000),(6.65+(N69-5000)*0.04%),IF(AND(N69&gt;=2000,N69&lt;5000),(4.25+(PN69-2000)*0.08%),IF(AND(N69&gt;=1000,N69&lt;2000),(2.75+(N69-1000)*0.15%),IF(AND(N69&gt;=100,N69&lt;1000),(0.5+(N69-100)*0.25%),IF(AND(N69&gt;0,N69&lt;100),N69*0.5%)))))))</f>
        <v>10.1228</v>
      </c>
      <c r="N87" s="53">
        <f ca="1">ROUND(M87*0.9,1)</f>
        <v>9.1</v>
      </c>
      <c r="O87" s="3058"/>
      <c r="P87" s="311"/>
      <c r="Q87" s="2029"/>
      <c r="R87" s="2029"/>
      <c r="S87" s="2029"/>
      <c r="T87" s="2029"/>
      <c r="U87" s="2029"/>
      <c r="V87" s="2029"/>
      <c r="W87" s="292"/>
      <c r="X87" s="292"/>
      <c r="Y87" s="292"/>
      <c r="Z87" s="292"/>
    </row>
    <row r="88" spans="1:26" s="1314" customFormat="1" ht="15" thickBot="1">
      <c r="A88" s="3324" t="s">
        <v>436</v>
      </c>
      <c r="B88" s="3325"/>
      <c r="C88" s="3325"/>
      <c r="D88" s="3325"/>
      <c r="E88" s="3325"/>
      <c r="F88" s="3325"/>
      <c r="G88" s="3325"/>
      <c r="H88" s="3325"/>
      <c r="I88" s="1315"/>
      <c r="J88" s="2037"/>
      <c r="K88" s="3342"/>
      <c r="L88" s="3065" t="s">
        <v>2881</v>
      </c>
      <c r="M88" s="3055">
        <f ca="1">IF(N69&gt;10000,N69*0.5%,IF(AND(N69&gt;5000,N69&lt;=10000),N69*1%,IF(AND(N69&gt;1000,N69&lt;=5000),N69*2%,IF(AND(N69&gt;200,N69&lt;=1000),N69*3%,N69*5%))))</f>
        <v>143.64000000000001</v>
      </c>
      <c r="N88" s="53">
        <f ca="1">ROUND(M88,1)</f>
        <v>143.6</v>
      </c>
      <c r="O88" s="3058"/>
      <c r="P88" s="11"/>
      <c r="Q88" s="2034"/>
      <c r="R88" s="2034"/>
      <c r="S88" s="2034"/>
      <c r="T88" s="2034"/>
      <c r="U88" s="2034"/>
      <c r="V88" s="2034"/>
      <c r="W88" s="2038"/>
      <c r="X88" s="2038"/>
      <c r="Y88" s="2038"/>
      <c r="Z88" s="2038"/>
    </row>
    <row r="89" spans="1:26" s="1314" customFormat="1" ht="14.25">
      <c r="A89" s="3322" t="s">
        <v>427</v>
      </c>
      <c r="B89" s="3323"/>
      <c r="C89" s="994"/>
      <c r="D89" s="994" t="s">
        <v>428</v>
      </c>
      <c r="E89" s="391" t="s">
        <v>437</v>
      </c>
      <c r="F89" s="392"/>
      <c r="G89" s="392"/>
      <c r="H89" s="393"/>
      <c r="I89" s="1316"/>
      <c r="J89" s="2039"/>
      <c r="K89" s="3342"/>
      <c r="L89" s="3065" t="s">
        <v>27</v>
      </c>
      <c r="M89" s="3056"/>
      <c r="N89" s="53">
        <f ca="1">ROUND(SUM(N83:N88),0)</f>
        <v>469</v>
      </c>
      <c r="O89" s="3066">
        <f ca="1">N89/N69</f>
        <v>1.6325536062378167E-2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16578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2664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285" t="s">
        <v>446</v>
      </c>
      <c r="F94" s="3284"/>
      <c r="G94" s="3284"/>
      <c r="H94" s="332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83</v>
      </c>
      <c r="D96" s="406">
        <f>'数据-取费表'!B43</f>
        <v>5.000000000000001E-3</v>
      </c>
      <c r="E96" s="3313" t="s">
        <v>2427</v>
      </c>
      <c r="F96" s="3314"/>
      <c r="G96" s="3314"/>
      <c r="H96" s="331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450</v>
      </c>
      <c r="C97" s="385">
        <f ca="1">C90-C91</f>
        <v>13914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451</v>
      </c>
      <c r="C98" s="407">
        <f ca="1">IF(C97&lt;=0,0,C97/C91)</f>
        <v>5.2229729729729728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452</v>
      </c>
      <c r="C99" s="408">
        <f ca="1">ROUND(IF(C97&lt;=0,0,IF(C98&gt;=200%,C97*60%-C91*35%,IF(C98&gt;=100%,C97*50%-C91*15%,IF(C98&gt;=50%,C97*40%-C91*5%,IF(C98&lt;50%,C97*30%,0))))),0)</f>
        <v>7416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4" t="s">
        <v>453</v>
      </c>
      <c r="B101" s="3325"/>
      <c r="C101" s="3325"/>
      <c r="D101" s="3325"/>
      <c r="E101" s="3325"/>
      <c r="F101" s="3325"/>
      <c r="G101" s="3325"/>
      <c r="H101" s="332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427</v>
      </c>
      <c r="B102" s="3323"/>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16578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778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460</v>
      </c>
      <c r="C109" s="405">
        <f>IF(H109="——",IF(F1="现房",'剩余法-现房'!C18,'剩余法-待开发'!C18),I109)</f>
        <v>55</v>
      </c>
      <c r="D109" s="406"/>
      <c r="E109" s="3316" t="s">
        <v>461</v>
      </c>
      <c r="F109" s="3314"/>
      <c r="G109" s="331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462</v>
      </c>
      <c r="C110" s="405">
        <f>ROUND((C105+C108+C109)*D110,0)</f>
        <v>63</v>
      </c>
      <c r="D110" s="406">
        <v>0.1</v>
      </c>
      <c r="E110" s="3316" t="s">
        <v>463</v>
      </c>
      <c r="F110" s="3314"/>
      <c r="G110" s="3314"/>
      <c r="H110" s="331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449</v>
      </c>
      <c r="C111" s="405">
        <f ca="1">ROUND(D63*D111/(1+'数据-取费表'!C42),0)</f>
        <v>83</v>
      </c>
      <c r="D111" s="406">
        <f>'数据-取费表'!B43</f>
        <v>5.000000000000001E-3</v>
      </c>
      <c r="E111" s="3313" t="s">
        <v>2427</v>
      </c>
      <c r="F111" s="3314"/>
      <c r="G111" s="3314"/>
      <c r="H111" s="331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464</v>
      </c>
      <c r="C112" s="405">
        <f>ROUND(C108*D112,0)</f>
        <v>0</v>
      </c>
      <c r="D112" s="406">
        <v>0.2</v>
      </c>
      <c r="E112" s="3316" t="s">
        <v>2452</v>
      </c>
      <c r="F112" s="3314"/>
      <c r="G112" s="3314"/>
      <c r="H112" s="331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450</v>
      </c>
      <c r="C113" s="385">
        <f ca="1">ROUND(C103-C104,0)</f>
        <v>15800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451</v>
      </c>
      <c r="C114" s="407">
        <f ca="1">IF(C113&lt;=0,0,C113/C104)</f>
        <v>20.308483290488432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452</v>
      </c>
      <c r="C115" s="408">
        <f ca="1">ROUND(IF(C113&lt;=0,0,IF(C114&gt;=200%,C113*60%-C104*35%,IF(C114&gt;=100%,C113*50%-C104*15%,IF(C114&gt;=50%,C113*40%-C104*5%,IF(C114&lt;50%,C113*30%,0))))),0)</f>
        <v>9208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08"/>
      <c r="C1" s="2105"/>
      <c r="D1" s="2105"/>
      <c r="E1" s="2105"/>
      <c r="F1" s="2105"/>
      <c r="G1" s="2105"/>
      <c r="H1" s="2105"/>
      <c r="I1" s="2105"/>
      <c r="J1" s="2105"/>
      <c r="K1" s="422">
        <f>MATCH(B1,'数据-取费表'!A6:A16,0)+5</f>
        <v>7</v>
      </c>
    </row>
    <row r="2" spans="1:31" s="2042" customFormat="1" ht="18" customHeight="1">
      <c r="A2" s="2102" t="s">
        <v>466</v>
      </c>
      <c r="B2" s="2106">
        <f ca="1">C36</f>
        <v>31489</v>
      </c>
      <c r="C2" s="2105"/>
      <c r="D2" s="2105"/>
      <c r="E2" s="2105"/>
      <c r="F2" s="2105"/>
      <c r="G2" s="2105"/>
      <c r="H2" s="2105"/>
      <c r="I2" s="2105"/>
      <c r="J2" s="2105"/>
      <c r="K2" s="2105"/>
    </row>
    <row r="3" spans="1:31" s="2042" customFormat="1" ht="18" customHeight="1">
      <c r="A3" s="2107" t="s">
        <v>1684</v>
      </c>
      <c r="B3" s="2108">
        <f ca="1">ROUND(B2*10000/IF(B1="",'数据-汇总表'!E3,INDIRECT("'数据-取费表'!K"&amp;$K$1)),0)</f>
        <v>402</v>
      </c>
      <c r="C3" s="2105"/>
      <c r="D3" s="2105"/>
      <c r="E3" s="2105"/>
      <c r="F3" s="2105"/>
      <c r="G3" s="2105"/>
      <c r="H3" s="2105"/>
      <c r="I3" s="2105"/>
      <c r="J3" s="2105"/>
      <c r="K3" s="2105"/>
    </row>
    <row r="4" spans="1:31" s="2042" customFormat="1" ht="18" customHeight="1">
      <c r="A4" s="426" t="s">
        <v>467</v>
      </c>
      <c r="B4" s="427">
        <f ca="1">ROUND(B2*10000/IF(B1="",'数据-汇总表'!D3,INDIRECT("'数据-取费表'!R"&amp;$K$1)),0)</f>
        <v>1127</v>
      </c>
      <c r="C4" s="428"/>
      <c r="D4" s="422"/>
      <c r="E4" s="422"/>
      <c r="F4" s="422"/>
      <c r="G4" s="422"/>
      <c r="H4" s="422"/>
      <c r="I4" s="422"/>
      <c r="J4" s="422"/>
      <c r="K4" s="422"/>
    </row>
    <row r="5" spans="1:31" s="2042" customFormat="1" ht="18" customHeight="1" thickBot="1">
      <c r="A5" s="429"/>
      <c r="B5" s="430">
        <f ca="1">ROUND(B2/(IF(B1="",'数据-汇总表'!D3,INDIRECT("'数据-取费表'!R"&amp;$K$1))/666.67),0)</f>
        <v>75</v>
      </c>
      <c r="C5" s="431" t="s">
        <v>468</v>
      </c>
      <c r="D5" s="422"/>
      <c r="E5" s="422"/>
      <c r="F5" s="422"/>
      <c r="G5" s="422"/>
      <c r="H5" s="422"/>
      <c r="I5" s="422"/>
      <c r="J5" s="422"/>
      <c r="K5" s="422"/>
    </row>
    <row r="6" spans="1:31" s="2112" customFormat="1" ht="16.5" customHeight="1">
      <c r="A6" s="2827" t="s">
        <v>1842</v>
      </c>
      <c r="B6" s="2828"/>
      <c r="C6" s="2829">
        <f ca="1">SUM(C10:K10)</f>
        <v>359658</v>
      </c>
      <c r="D6" s="2828"/>
      <c r="E6" s="2828"/>
      <c r="F6" s="2828"/>
      <c r="G6" s="2828"/>
      <c r="H6" s="2828"/>
      <c r="I6" s="2828"/>
      <c r="J6" s="2828"/>
      <c r="K6" s="2830"/>
    </row>
    <row r="7" spans="1:31" s="2114" customFormat="1" ht="15">
      <c r="A7" s="2831" t="s">
        <v>469</v>
      </c>
      <c r="B7" s="2832" t="s">
        <v>470</v>
      </c>
      <c r="C7" s="436" t="s">
        <v>2989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3">
        <f ca="1">不动产收益法!B3</f>
        <v>4595</v>
      </c>
      <c r="D8" s="2833"/>
      <c r="E8" s="2833"/>
      <c r="F8" s="2833"/>
      <c r="G8" s="2833"/>
      <c r="H8" s="2833"/>
      <c r="I8" s="2833"/>
      <c r="J8" s="2833"/>
      <c r="K8" s="283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782672.8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5" t="s">
        <v>1847</v>
      </c>
      <c r="B10" s="2821" t="s">
        <v>473</v>
      </c>
      <c r="C10" s="3028">
        <f ca="1">不动产收益法!B2</f>
        <v>359658</v>
      </c>
      <c r="D10" s="3028"/>
      <c r="E10" s="3028"/>
      <c r="F10" s="2836"/>
      <c r="G10" s="2836"/>
      <c r="H10" s="2836"/>
      <c r="I10" s="2836"/>
      <c r="J10" s="2836"/>
      <c r="K10" s="283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38" t="s">
        <v>1843</v>
      </c>
      <c r="B11" s="2828"/>
      <c r="C11" s="2828"/>
      <c r="D11" s="2828"/>
      <c r="E11" s="2828"/>
      <c r="F11" s="2828"/>
      <c r="G11" s="2828"/>
      <c r="H11" s="2828"/>
      <c r="I11" s="2828"/>
      <c r="J11" s="2828"/>
      <c r="K11" s="2830"/>
    </row>
    <row r="12" spans="1:31" s="2086" customFormat="1" ht="13.5" customHeight="1">
      <c r="A12" s="2839" t="s">
        <v>469</v>
      </c>
      <c r="B12" s="2811" t="s">
        <v>470</v>
      </c>
      <c r="C12" s="2840" t="s">
        <v>474</v>
      </c>
      <c r="D12" s="2807" t="s">
        <v>475</v>
      </c>
      <c r="E12" s="2807" t="s">
        <v>476</v>
      </c>
      <c r="F12" s="2807" t="s">
        <v>477</v>
      </c>
      <c r="G12" s="2811"/>
      <c r="H12" s="2812"/>
      <c r="I12" s="2812"/>
      <c r="J12" s="2812"/>
      <c r="K12" s="2813"/>
    </row>
    <row r="13" spans="1:31" s="2117" customFormat="1" ht="13.5" customHeight="1">
      <c r="A13" s="2841" t="s">
        <v>1848</v>
      </c>
      <c r="B13" s="2842" t="s">
        <v>478</v>
      </c>
      <c r="C13" s="450">
        <f ca="1">IF(B1="",'数据-取费表'!P16,INDIRECT("'数据-取费表'!p"&amp;$K$1)+INDIRECT("'数据-取费表'!t"&amp;$K$1))</f>
        <v>187841</v>
      </c>
      <c r="D13" s="2843"/>
      <c r="E13" s="2844"/>
      <c r="F13" s="2845"/>
      <c r="G13" s="2811"/>
      <c r="H13" s="2812"/>
      <c r="I13" s="2812"/>
      <c r="J13" s="2812"/>
      <c r="K13" s="2813"/>
    </row>
    <row r="14" spans="1:31" s="2117" customFormat="1" ht="13.5" customHeight="1">
      <c r="A14" s="2841" t="s">
        <v>1849</v>
      </c>
      <c r="B14" s="2842" t="s">
        <v>479</v>
      </c>
      <c r="C14" s="53">
        <f ca="1">ROUND(C13*F14,0)</f>
        <v>5635</v>
      </c>
      <c r="D14" s="2843"/>
      <c r="E14" s="2844"/>
      <c r="F14" s="2846">
        <f>'数据-取费表'!B33</f>
        <v>0.03</v>
      </c>
      <c r="G14" s="2811" t="s">
        <v>480</v>
      </c>
      <c r="H14" s="2812"/>
      <c r="I14" s="2812"/>
      <c r="J14" s="2812"/>
      <c r="K14" s="2813"/>
    </row>
    <row r="15" spans="1:31" s="2117" customFormat="1" ht="13.5" customHeight="1">
      <c r="A15" s="2841" t="s">
        <v>1850</v>
      </c>
      <c r="B15" s="2842" t="s">
        <v>481</v>
      </c>
      <c r="C15" s="53">
        <f ca="1">ROUND(IF(B1="",SUMIF('数据-取费表'!C:C,"住宅",'数据-取费表'!P:P)*F15,IF(INDIRECT("'数据-取费表'!c"&amp;$K$1)="住宅",INDIRECT("'数据-取费表'!P"&amp;$K$1)*F15,0)),0)</f>
        <v>0</v>
      </c>
      <c r="D15" s="2843"/>
      <c r="E15" s="2844"/>
      <c r="F15" s="2846">
        <f>'数据-取费表'!B34</f>
        <v>0</v>
      </c>
      <c r="G15" s="2811" t="s">
        <v>482</v>
      </c>
      <c r="H15" s="2812"/>
      <c r="I15" s="2812"/>
      <c r="J15" s="2812"/>
      <c r="K15" s="2813"/>
    </row>
    <row r="16" spans="1:31" s="2118" customFormat="1" ht="13.5" customHeight="1">
      <c r="A16" s="2841" t="s">
        <v>1851</v>
      </c>
      <c r="B16" s="2842" t="s">
        <v>483</v>
      </c>
      <c r="C16" s="53">
        <f ca="1">ROUND(D16*E16/10000,0)</f>
        <v>15653</v>
      </c>
      <c r="D16" s="2843">
        <f ca="1">IF(B1="",'数据-汇总表'!E3,INDIRECT("'数据-取费表'!K"&amp;$K$1)+INDIRECT("'数据-取费表'!S"&amp;$K$1))</f>
        <v>782672.8</v>
      </c>
      <c r="E16" s="53">
        <f>'数据-取费表'!B35</f>
        <v>200</v>
      </c>
      <c r="F16" s="2846"/>
      <c r="G16" s="2811"/>
      <c r="H16" s="2812"/>
      <c r="I16" s="2812"/>
      <c r="J16" s="2812"/>
      <c r="K16" s="281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1" t="s">
        <v>1852</v>
      </c>
      <c r="B17" s="2842" t="s">
        <v>484</v>
      </c>
      <c r="C17" s="2847">
        <f ca="1">ROUND(C13*F17,0)</f>
        <v>2818</v>
      </c>
      <c r="D17" s="475"/>
      <c r="E17" s="2847"/>
      <c r="F17" s="2848">
        <f>'数据-取费表'!B36</f>
        <v>1.4999999999999999E-2</v>
      </c>
      <c r="G17" s="261" t="s">
        <v>485</v>
      </c>
      <c r="H17" s="2814"/>
      <c r="I17" s="2814"/>
      <c r="J17" s="2814"/>
      <c r="K17" s="279"/>
    </row>
    <row r="18" spans="1:14" s="2117" customFormat="1" ht="13.5" customHeight="1">
      <c r="A18" s="2849" t="s">
        <v>1853</v>
      </c>
      <c r="B18" s="2850" t="s">
        <v>486</v>
      </c>
      <c r="C18" s="2851">
        <f ca="1">SUM(C13:C17)</f>
        <v>211947</v>
      </c>
      <c r="D18" s="2852"/>
      <c r="E18" s="468"/>
      <c r="F18" s="468"/>
      <c r="G18" s="2815" t="s">
        <v>2429</v>
      </c>
      <c r="H18" s="2816"/>
      <c r="I18" s="2816"/>
      <c r="J18" s="2816"/>
      <c r="K18" s="2817"/>
    </row>
    <row r="19" spans="1:14" s="2117" customFormat="1" ht="13.5" customHeight="1">
      <c r="A19" s="2849" t="s">
        <v>1854</v>
      </c>
      <c r="B19" s="2850" t="s">
        <v>487</v>
      </c>
      <c r="C19" s="2807">
        <f ca="1">ROUND(D19*E19/10000,0)</f>
        <v>4696</v>
      </c>
      <c r="D19" s="2853">
        <f ca="1">D16</f>
        <v>782672.8</v>
      </c>
      <c r="E19" s="2807">
        <f>'数据-取费表'!B32</f>
        <v>60</v>
      </c>
      <c r="F19" s="468"/>
      <c r="G19" s="2811" t="s">
        <v>488</v>
      </c>
      <c r="H19" s="2812"/>
      <c r="I19" s="2816"/>
      <c r="J19" s="2816"/>
      <c r="K19" s="2817"/>
    </row>
    <row r="20" spans="1:14" s="2117" customFormat="1" ht="13.5" customHeight="1">
      <c r="A20" s="2849" t="s">
        <v>1855</v>
      </c>
      <c r="B20" s="2850" t="s">
        <v>489</v>
      </c>
      <c r="C20" s="2807">
        <f ca="1">C21+C22-IF(B1="",'数据-取费表'!B29,IF(G20="已全部缴纳",C21+C22,H20))</f>
        <v>5870</v>
      </c>
      <c r="D20" s="2853"/>
      <c r="E20" s="2807"/>
      <c r="F20" s="2854"/>
      <c r="G20" s="3088"/>
      <c r="H20" s="2809"/>
      <c r="I20" s="2810" t="s">
        <v>2650</v>
      </c>
      <c r="J20" s="2816"/>
      <c r="K20" s="2817"/>
    </row>
    <row r="21" spans="1:14" s="2117" customFormat="1" ht="13.5" customHeight="1">
      <c r="A21" s="2841" t="s">
        <v>1856</v>
      </c>
      <c r="B21" s="2842" t="s">
        <v>490</v>
      </c>
      <c r="C21" s="53">
        <f ca="1">ROUND(D21*E21/10000,0)</f>
        <v>0</v>
      </c>
      <c r="D21" s="2843">
        <f ca="1">IF(B1="",'数据-汇总表'!E5,IF(INDIRECT("'数据-取费表'!c"&amp;$K$1)="住宅",INDIRECT("'数据-取费表'!k"&amp;$K$1),0))</f>
        <v>0</v>
      </c>
      <c r="E21" s="53">
        <f>'数据-取费表'!B27</f>
        <v>75</v>
      </c>
      <c r="F21" s="2846"/>
      <c r="G21" s="26"/>
      <c r="H21" s="51"/>
      <c r="I21" s="51"/>
      <c r="J21" s="51"/>
      <c r="K21" s="2818"/>
    </row>
    <row r="22" spans="1:14" s="2117" customFormat="1" ht="13.5" customHeight="1">
      <c r="A22" s="2841" t="s">
        <v>1857</v>
      </c>
      <c r="B22" s="2842" t="s">
        <v>491</v>
      </c>
      <c r="C22" s="53">
        <f ca="1">ROUND(D22*E22/10000,0)</f>
        <v>5870</v>
      </c>
      <c r="D22" s="2843">
        <f ca="1">IF(B1="",'数据-汇总表'!E6,IF(INDIRECT("'数据-取费表'!c"&amp;$K$1)="住宅",INDIRECT("'数据-取费表'!s"&amp;$K$1),INDIRECT("'数据-取费表'!k"&amp;$K$1)+INDIRECT("'数据-取费表'!s"&amp;$K$1)))</f>
        <v>782672.8</v>
      </c>
      <c r="E22" s="53">
        <f>'数据-取费表'!B28</f>
        <v>75</v>
      </c>
      <c r="F22" s="2846"/>
      <c r="G22" s="26"/>
      <c r="H22" s="51"/>
      <c r="I22" s="51"/>
      <c r="J22" s="51"/>
      <c r="K22" s="2818"/>
    </row>
    <row r="23" spans="1:14" s="2117" customFormat="1" ht="13.5" customHeight="1">
      <c r="A23" s="2849" t="s">
        <v>1858</v>
      </c>
      <c r="B23" s="3034" t="s">
        <v>2833</v>
      </c>
      <c r="C23" s="2851">
        <f ca="1">ROUND((C18+C19+C20)*F23,0)</f>
        <v>4450</v>
      </c>
      <c r="D23" s="468"/>
      <c r="E23" s="468"/>
      <c r="F23" s="2855">
        <f>'数据-取费表'!B37</f>
        <v>0.02</v>
      </c>
      <c r="G23" s="2811" t="s">
        <v>2430</v>
      </c>
      <c r="H23" s="2812"/>
      <c r="I23" s="2812"/>
      <c r="J23" s="2812"/>
      <c r="K23" s="2813"/>
      <c r="L23" s="2119"/>
      <c r="M23" s="2119"/>
      <c r="N23" s="2119"/>
    </row>
    <row r="24" spans="1:14" s="2117" customFormat="1" ht="13.5" customHeight="1">
      <c r="A24" s="2849" t="s">
        <v>1859</v>
      </c>
      <c r="B24" s="3034" t="s">
        <v>2836</v>
      </c>
      <c r="C24" s="2851">
        <f ca="1">ROUND(C6*F24,0)</f>
        <v>10790</v>
      </c>
      <c r="D24" s="475"/>
      <c r="E24" s="473"/>
      <c r="F24" s="2855">
        <f>'数据-取费表'!B38</f>
        <v>0.03</v>
      </c>
      <c r="G24" s="2820" t="s">
        <v>498</v>
      </c>
      <c r="H24" s="2814"/>
      <c r="I24" s="2814"/>
      <c r="J24" s="2814"/>
      <c r="K24" s="279"/>
      <c r="L24" s="2119"/>
      <c r="M24" s="2119"/>
      <c r="N24" s="2119"/>
    </row>
    <row r="25" spans="1:14" s="2120" customFormat="1" ht="13.5" customHeight="1">
      <c r="A25" s="2849" t="s">
        <v>1860</v>
      </c>
      <c r="B25" s="3034" t="s">
        <v>2834</v>
      </c>
      <c r="C25" s="467">
        <f>ROUND(F25/(1+'数据-取费表'!C42),4)</f>
        <v>3.8600000000000002E-2</v>
      </c>
      <c r="D25" s="462" t="s">
        <v>2828</v>
      </c>
      <c r="E25" s="469"/>
      <c r="F25" s="2855">
        <f>'数据-取费表'!B48+'数据-取费表'!B49</f>
        <v>4.0500000000000001E-2</v>
      </c>
      <c r="G25" s="2819" t="s">
        <v>2290</v>
      </c>
      <c r="H25" s="2812"/>
      <c r="I25" s="2812"/>
      <c r="J25" s="2812"/>
      <c r="K25" s="2813"/>
    </row>
    <row r="26" spans="1:14" s="2119" customFormat="1" ht="13.5" customHeight="1">
      <c r="A26" s="2849" t="s">
        <v>1861</v>
      </c>
      <c r="B26" s="3035" t="s">
        <v>2835</v>
      </c>
      <c r="C26" s="2856">
        <f ca="1">C28</f>
        <v>23123</v>
      </c>
      <c r="D26" s="467">
        <f ca="1">C27</f>
        <v>0.21179999999999999</v>
      </c>
      <c r="E26" s="469" t="s">
        <v>494</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1" customFormat="1" ht="13.5" customHeight="1">
      <c r="A27" s="803" t="s">
        <v>1856</v>
      </c>
      <c r="B27" s="2857" t="s">
        <v>495</v>
      </c>
      <c r="C27" s="2858">
        <f ca="1">ROUND(IF('数据-取费表'!B22&lt;=1,(1+C25)*F26*'数据-取费表'!B24,(1+C25)*(POWER((1+F26),'数据-取费表'!B24)-1)),4)</f>
        <v>0.21179999999999999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21" customFormat="1" ht="13.5" customHeight="1">
      <c r="A28" s="803" t="s">
        <v>1857</v>
      </c>
      <c r="B28" s="2857" t="s">
        <v>2837</v>
      </c>
      <c r="C28" s="2859">
        <f ca="1">ROUND(IF('数据-取费表'!B22&lt;=1,(C18+C19+C20+C23+C24)*F26*'数据-取费表'!B24/2,(C18+C19+C20+C23+C24)*(POWER((1+F26),'数据-取费表'!B24/2)-1)),0)</f>
        <v>23123</v>
      </c>
      <c r="D28" s="472"/>
      <c r="E28" s="473"/>
      <c r="F28" s="474"/>
      <c r="G28" s="2571" t="str">
        <f>IF('数据-取费表'!B22&lt;=1,"（1）-（4）项×年利率×建设期÷2","（1）-（4）项×((1+年利率)^(建设期÷2)-1)")</f>
        <v>（1）-（4）项×((1+年利率)^(建设期÷2)-1)</v>
      </c>
      <c r="H28" s="2814"/>
      <c r="I28" s="2814"/>
      <c r="J28" s="2814"/>
      <c r="K28" s="279"/>
    </row>
    <row r="29" spans="1:14" s="2121" customFormat="1" ht="13.5" customHeight="1">
      <c r="A29" s="2860" t="s">
        <v>1862</v>
      </c>
      <c r="B29" s="2850" t="s">
        <v>496</v>
      </c>
      <c r="C29" s="2851">
        <f ca="1">ROUND(C6*F29/(1+'数据-取费表'!C42),0)</f>
        <v>18839</v>
      </c>
      <c r="D29" s="468"/>
      <c r="E29" s="468"/>
      <c r="F29" s="3036">
        <f>'数据-取费表'!B41</f>
        <v>5.5000000000000007E-2</v>
      </c>
      <c r="G29" s="2820" t="s">
        <v>497</v>
      </c>
      <c r="H29" s="2812"/>
      <c r="I29" s="2812"/>
      <c r="J29" s="2812"/>
      <c r="K29" s="2813"/>
    </row>
    <row r="30" spans="1:14" s="2122" customFormat="1" ht="13.5" customHeight="1">
      <c r="A30" s="1636" t="s">
        <v>1863</v>
      </c>
      <c r="B30" s="2861" t="s">
        <v>499</v>
      </c>
      <c r="C30" s="2856">
        <f ca="1">C31</f>
        <v>279715</v>
      </c>
      <c r="D30" s="477">
        <f ca="1">C32</f>
        <v>0.25040000000000001</v>
      </c>
      <c r="E30" s="469" t="s">
        <v>494</v>
      </c>
      <c r="F30" s="471"/>
      <c r="G30" s="2819" t="s">
        <v>2972</v>
      </c>
      <c r="H30" s="2812"/>
      <c r="I30" s="2812"/>
      <c r="J30" s="2812"/>
      <c r="K30" s="2813"/>
    </row>
    <row r="31" spans="1:14" s="2121" customFormat="1" ht="13.5" customHeight="1">
      <c r="A31" s="803" t="s">
        <v>1856</v>
      </c>
      <c r="B31" s="2857"/>
      <c r="C31" s="450">
        <f ca="1">C18+C19+C20+C23+C24+C26+C29</f>
        <v>279715</v>
      </c>
      <c r="D31" s="472"/>
      <c r="E31" s="473"/>
      <c r="F31" s="474"/>
      <c r="G31" s="261"/>
      <c r="H31" s="2814"/>
      <c r="I31" s="2814"/>
      <c r="J31" s="2814"/>
      <c r="K31" s="279"/>
    </row>
    <row r="32" spans="1:14" s="2121" customFormat="1" ht="13.5" customHeight="1">
      <c r="A32" s="803" t="s">
        <v>1857</v>
      </c>
      <c r="B32" s="2857"/>
      <c r="C32" s="53">
        <f ca="1">ROUND(C25+D26,4)</f>
        <v>0.25040000000000001</v>
      </c>
      <c r="D32" s="472"/>
      <c r="E32" s="473"/>
      <c r="F32" s="474"/>
      <c r="G32" s="261"/>
      <c r="H32" s="2814"/>
      <c r="I32" s="2814"/>
      <c r="J32" s="2814"/>
      <c r="K32" s="279"/>
    </row>
    <row r="33" spans="1:11" s="2123" customFormat="1" ht="13.5" customHeight="1">
      <c r="A33" s="3033" t="s">
        <v>2832</v>
      </c>
      <c r="B33" s="3031" t="s">
        <v>2830</v>
      </c>
      <c r="C33" s="478">
        <f ca="1">C35</f>
        <v>35663</v>
      </c>
      <c r="D33" s="467">
        <f ca="1">C34</f>
        <v>0.15579999999999999</v>
      </c>
      <c r="E33" s="469" t="s">
        <v>494</v>
      </c>
      <c r="F33" s="479">
        <f ca="1">IF(B1="",'数据-取费表'!Q16,INDIRECT("'数据-取费表'!q"&amp;$K$1))</f>
        <v>0.15</v>
      </c>
      <c r="G33" s="2815"/>
      <c r="H33" s="2816"/>
      <c r="I33" s="2816"/>
      <c r="J33" s="2816"/>
      <c r="K33" s="2817"/>
    </row>
    <row r="34" spans="1:11" s="2124" customFormat="1" ht="13.5" customHeight="1">
      <c r="A34" s="375" t="s">
        <v>1856</v>
      </c>
      <c r="B34" s="2862" t="s">
        <v>500</v>
      </c>
      <c r="C34" s="472">
        <f ca="1">ROUND((1+C25)*F33,4)</f>
        <v>0.15579999999999999</v>
      </c>
      <c r="D34" s="472"/>
      <c r="E34" s="473"/>
      <c r="F34" s="480"/>
      <c r="G34" s="261" t="s">
        <v>2291</v>
      </c>
      <c r="H34" s="2814"/>
      <c r="I34" s="2814"/>
      <c r="J34" s="2814"/>
      <c r="K34" s="279"/>
    </row>
    <row r="35" spans="1:11" s="2124" customFormat="1" ht="13.5" customHeight="1" thickBot="1">
      <c r="A35" s="1637" t="s">
        <v>1857</v>
      </c>
      <c r="B35" s="3032" t="s">
        <v>2838</v>
      </c>
      <c r="C35" s="1629">
        <f ca="1">ROUND((C18+C19+C20+C23+C24)*F33,0)</f>
        <v>35663</v>
      </c>
      <c r="D35" s="1630"/>
      <c r="E35" s="2863"/>
      <c r="F35" s="1631"/>
      <c r="G35" s="2821"/>
      <c r="H35" s="2822"/>
      <c r="I35" s="2822"/>
      <c r="J35" s="2822"/>
      <c r="K35" s="2823"/>
    </row>
    <row r="36" spans="1:11" s="2086" customFormat="1" ht="13.5" customHeight="1" thickBot="1">
      <c r="A36" s="284" t="s">
        <v>1844</v>
      </c>
      <c r="B36" s="2825"/>
      <c r="C36" s="2864">
        <f ca="1">ROUND((C6-C30-C33)/(1+D30+D33),0)</f>
        <v>31489</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08"/>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473</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4" t="s">
        <v>1848</v>
      </c>
      <c r="B13" s="449" t="s">
        <v>478</v>
      </c>
      <c r="C13" s="450">
        <f ca="1">IF(B1="",'数据-取费表'!M16,INDIRECT("'数据-取费表'!M"&amp;$K$1)+INDIRECT("'数据-取费表'!t"&amp;$K$1))</f>
        <v>187841</v>
      </c>
      <c r="D13" s="451"/>
      <c r="E13" s="365"/>
      <c r="F13" s="452"/>
      <c r="G13" s="444"/>
      <c r="H13" s="447"/>
      <c r="I13" s="447"/>
      <c r="J13" s="447"/>
      <c r="K13" s="448"/>
    </row>
    <row r="14" spans="1:41" s="2117" customFormat="1" ht="13.5" customHeight="1">
      <c r="A14" s="1634" t="s">
        <v>1849</v>
      </c>
      <c r="B14" s="449" t="s">
        <v>479</v>
      </c>
      <c r="C14" s="53">
        <f ca="1">ROUND(C13*F14,0)</f>
        <v>5635</v>
      </c>
      <c r="D14" s="451"/>
      <c r="E14" s="365"/>
      <c r="F14" s="453">
        <f>'数据-取费表'!B33</f>
        <v>0.03</v>
      </c>
      <c r="G14" s="444" t="s">
        <v>501</v>
      </c>
      <c r="H14" s="447"/>
      <c r="I14" s="447"/>
      <c r="J14" s="447"/>
      <c r="K14" s="448"/>
    </row>
    <row r="15" spans="1:41" s="2117"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4" t="s">
        <v>1851</v>
      </c>
      <c r="B16" s="449" t="s">
        <v>483</v>
      </c>
      <c r="C16" s="53">
        <f ca="1">ROUND(D16*E16/10000,0)</f>
        <v>15653</v>
      </c>
      <c r="D16" s="451">
        <f ca="1">IF(B1="",'数据-汇总表'!E3,INDIRECT("'数据-取费表'!K"&amp;$K$1)+INDIRECT("'数据-取费表'!S"&amp;$K$1))</f>
        <v>782672.8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484</v>
      </c>
      <c r="C17" s="454">
        <f ca="1">ROUND(C13*F17,0)</f>
        <v>2818</v>
      </c>
      <c r="D17" s="455"/>
      <c r="E17" s="454"/>
      <c r="F17" s="456">
        <f>'数据-取费表'!B36</f>
        <v>1.4999999999999999E-2</v>
      </c>
      <c r="G17" s="444" t="s">
        <v>501</v>
      </c>
      <c r="H17" s="457"/>
      <c r="I17" s="457"/>
      <c r="J17" s="457"/>
      <c r="K17" s="458"/>
    </row>
    <row r="18" spans="1:14" s="2120" customFormat="1" ht="13.5" customHeight="1">
      <c r="A18" s="1635" t="s">
        <v>1853</v>
      </c>
      <c r="B18" s="459" t="s">
        <v>486</v>
      </c>
      <c r="C18" s="460">
        <f ca="1">SUM(C13:C17)</f>
        <v>211947</v>
      </c>
      <c r="D18" s="461"/>
      <c r="E18" s="462"/>
      <c r="F18" s="462"/>
      <c r="G18" s="1327" t="s">
        <v>2431</v>
      </c>
      <c r="H18" s="447"/>
      <c r="I18" s="447"/>
      <c r="J18" s="447"/>
      <c r="K18" s="448"/>
    </row>
    <row r="19" spans="1:14" s="2120" customFormat="1" ht="13.5" customHeight="1">
      <c r="A19" s="1635" t="s">
        <v>1854</v>
      </c>
      <c r="B19" s="459" t="s">
        <v>492</v>
      </c>
      <c r="C19" s="460">
        <f ca="1">ROUND(C18*F19,0)</f>
        <v>4239</v>
      </c>
      <c r="D19" s="462"/>
      <c r="E19" s="462"/>
      <c r="F19" s="466">
        <f>'数据-取费表'!B37</f>
        <v>0.02</v>
      </c>
      <c r="G19" s="444" t="s">
        <v>502</v>
      </c>
      <c r="H19" s="447"/>
      <c r="I19" s="447"/>
      <c r="J19" s="447"/>
      <c r="K19" s="448"/>
      <c r="L19" s="2122"/>
      <c r="M19" s="2122"/>
      <c r="N19" s="2122"/>
    </row>
    <row r="20" spans="1:14" s="2120" customFormat="1" ht="13.5" customHeight="1">
      <c r="A20" s="1635" t="s">
        <v>1855</v>
      </c>
      <c r="B20" s="459" t="s">
        <v>503</v>
      </c>
      <c r="C20" s="3029">
        <f>F20</f>
        <v>0.03</v>
      </c>
      <c r="D20" s="469" t="s">
        <v>504</v>
      </c>
      <c r="E20" s="469"/>
      <c r="F20" s="486">
        <f>'数据-取费表'!B38</f>
        <v>0.03</v>
      </c>
      <c r="G20" s="1327" t="s">
        <v>505</v>
      </c>
      <c r="H20" s="447"/>
      <c r="I20" s="447"/>
      <c r="J20" s="447"/>
      <c r="K20" s="448"/>
      <c r="L20" s="2122"/>
      <c r="M20" s="2122"/>
      <c r="N20" s="2122"/>
    </row>
    <row r="21" spans="1:14" s="2122" customFormat="1" ht="13.5" customHeight="1">
      <c r="A21" s="1635" t="s">
        <v>1858</v>
      </c>
      <c r="B21" s="461" t="s">
        <v>493</v>
      </c>
      <c r="C21" s="470">
        <f ca="1">C22</f>
        <v>21025</v>
      </c>
      <c r="D21" s="467">
        <f ca="1">C23</f>
        <v>2.8999999999999998E-3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4" t="s">
        <v>1848</v>
      </c>
      <c r="B22" s="1328" t="s">
        <v>2434</v>
      </c>
      <c r="C22" s="487">
        <f ca="1">ROUND(IF('数据-取费表'!B22&lt;=1,(C18+C19)*F21*'数据-取费表'!B20/2,(C18+C19)*(POWER((1+F21),'数据-取费表'!B20/2)-1)),0)</f>
        <v>21025</v>
      </c>
      <c r="D22" s="472"/>
      <c r="E22" s="473"/>
      <c r="F22" s="474"/>
      <c r="G22" s="2566" t="str">
        <f>IF('数据-取费表'!B22&lt;=1,"((1)+(2))×年利率×建设期÷2","((1)+(2))×((1+年利率)^(建设期÷2)-1)")</f>
        <v>((1)+(2))×((1+年利率)^(建设期÷2)-1)</v>
      </c>
      <c r="H22" s="457"/>
      <c r="I22" s="457"/>
      <c r="J22" s="457"/>
      <c r="K22" s="458"/>
    </row>
    <row r="23" spans="1:14" s="2121" customFormat="1" ht="13.5" customHeight="1">
      <c r="A23" s="1634" t="s">
        <v>1849</v>
      </c>
      <c r="B23" s="1328" t="s">
        <v>507</v>
      </c>
      <c r="C23" s="488">
        <f ca="1">ROUND(IF('数据-取费表'!B22&lt;=1,F20*F21*'数据-取费表'!B20/2,F20*(POWER((1+F21),'数据-取费表'!B20/2)-1)),4)</f>
        <v>2.8999999999999998E-3</v>
      </c>
      <c r="D23" s="472"/>
      <c r="E23" s="473"/>
      <c r="F23" s="474"/>
      <c r="G23" s="256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1" t="s">
        <v>2831</v>
      </c>
      <c r="C24" s="478">
        <f ca="1">C25</f>
        <v>32428</v>
      </c>
      <c r="D24" s="489">
        <f ca="1">C26</f>
        <v>4.4999999999999997E-3</v>
      </c>
      <c r="E24" s="469" t="s">
        <v>506</v>
      </c>
      <c r="F24" s="479">
        <f ca="1">IF(B1="",'数据-取费表'!Q16,INDIRECT("'数据-取费表'!q"&amp;$K$1))</f>
        <v>0.15</v>
      </c>
      <c r="G24" s="444"/>
      <c r="H24" s="447"/>
      <c r="I24" s="447"/>
      <c r="J24" s="447"/>
      <c r="K24" s="448"/>
    </row>
    <row r="25" spans="1:14" s="2121" customFormat="1" ht="13.5" customHeight="1">
      <c r="A25" s="1634" t="s">
        <v>1848</v>
      </c>
      <c r="B25" s="1328" t="s">
        <v>2435</v>
      </c>
      <c r="C25" s="490">
        <f ca="1">ROUND((C18+C19)*F24,0)</f>
        <v>32428</v>
      </c>
      <c r="D25" s="472"/>
      <c r="E25" s="473"/>
      <c r="F25" s="480"/>
      <c r="G25" s="1326" t="s">
        <v>2432</v>
      </c>
      <c r="H25" s="457"/>
      <c r="I25" s="457"/>
      <c r="J25" s="457"/>
      <c r="K25" s="458"/>
    </row>
    <row r="26" spans="1:14" s="2121" customFormat="1" ht="13.5" customHeight="1">
      <c r="A26" s="1634" t="s">
        <v>1849</v>
      </c>
      <c r="B26" s="1328" t="s">
        <v>508</v>
      </c>
      <c r="C26" s="491">
        <f ca="1">ROUND(F20*F24,4)</f>
        <v>4.4999999999999997E-3</v>
      </c>
      <c r="D26" s="472"/>
      <c r="E26" s="481"/>
      <c r="F26" s="480"/>
      <c r="G26" s="1326" t="s">
        <v>509</v>
      </c>
      <c r="H26" s="457"/>
      <c r="I26" s="457"/>
      <c r="J26" s="457"/>
      <c r="K26" s="458"/>
    </row>
    <row r="27" spans="1:14" s="2121" customFormat="1" ht="13.5" customHeight="1">
      <c r="A27" s="1638" t="s">
        <v>1867</v>
      </c>
      <c r="B27" s="459" t="s">
        <v>510</v>
      </c>
      <c r="C27" s="3030">
        <f>ROUND(F27/(1+'数据-取费表'!C42),4)</f>
        <v>5.2400000000000002E-2</v>
      </c>
      <c r="D27" s="462" t="s">
        <v>2829</v>
      </c>
      <c r="E27" s="462"/>
      <c r="F27" s="466">
        <f>'数据-取费表'!B41</f>
        <v>5.5000000000000007E-2</v>
      </c>
      <c r="G27" s="1961" t="s">
        <v>2292</v>
      </c>
      <c r="H27" s="447"/>
      <c r="I27" s="447"/>
      <c r="J27" s="447"/>
      <c r="K27" s="448"/>
    </row>
    <row r="28" spans="1:14" s="2122" customFormat="1" ht="13.5" customHeight="1">
      <c r="A28" s="1638" t="s">
        <v>1868</v>
      </c>
      <c r="B28" s="476" t="s">
        <v>511</v>
      </c>
      <c r="C28" s="470">
        <f ca="1">ROUND((C18+C19+C21+C24)/(1-C20-D21-D24-C27),0)</f>
        <v>296241</v>
      </c>
      <c r="D28" s="477"/>
      <c r="E28" s="469"/>
      <c r="F28" s="471"/>
      <c r="G28" s="1327" t="s">
        <v>2433</v>
      </c>
      <c r="H28" s="447"/>
      <c r="I28" s="447"/>
      <c r="J28" s="447"/>
      <c r="K28" s="448"/>
    </row>
    <row r="29" spans="1:14" s="2122"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山东省高密市新河村东南至张家庙子西北出让国有建设用地使用权抵押价格预评估</v>
      </c>
      <c r="C37" s="3193"/>
      <c r="D37" s="3193"/>
      <c r="E37" s="3193"/>
      <c r="F37" s="3193"/>
      <c r="G37" s="3193"/>
      <c r="H37" s="3193"/>
      <c r="I37" s="3193"/>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5" t="s">
        <v>951</v>
      </c>
      <c r="E1" s="2386" t="s">
        <v>2373</v>
      </c>
      <c r="F1" s="2387">
        <f ca="1">J53</f>
        <v>26.36</v>
      </c>
      <c r="G1" s="774">
        <f>MATCH(C1,'数据-取费表'!A6:A16,0)+5</f>
        <v>6</v>
      </c>
      <c r="H1" s="2051"/>
      <c r="I1" s="2052"/>
      <c r="J1" s="2052"/>
      <c r="K1" s="2053"/>
      <c r="L1" s="2052"/>
      <c r="M1" s="2052"/>
      <c r="N1" s="2054"/>
      <c r="O1" s="2054"/>
      <c r="P1" s="2054"/>
      <c r="Q1" s="239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359658</v>
      </c>
      <c r="C2" s="2058"/>
      <c r="D2" s="2056"/>
      <c r="E2" s="2057"/>
      <c r="F2" s="2057"/>
      <c r="G2" s="1591"/>
      <c r="H2" s="2058"/>
      <c r="I2" s="2058"/>
      <c r="J2" s="2058"/>
      <c r="K2" s="2059"/>
      <c r="L2" s="2058"/>
      <c r="M2" s="2058"/>
    </row>
    <row r="3" spans="1:33" ht="18" customHeight="1" thickBot="1">
      <c r="A3" s="833" t="s">
        <v>1727</v>
      </c>
      <c r="B3" s="834">
        <f ca="1">IF(ISERROR(B2*10000/F43),0,ROUND(B2*10000/F43,0))</f>
        <v>4595</v>
      </c>
      <c r="C3" s="2058"/>
      <c r="D3" s="2056"/>
      <c r="E3" s="2057"/>
      <c r="F3" s="2057"/>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30930</v>
      </c>
      <c r="D5" s="2495" t="s">
        <v>2460</v>
      </c>
      <c r="E5" s="2489"/>
      <c r="F5" s="2490"/>
      <c r="G5" s="1593"/>
      <c r="H5" s="781">
        <v>1</v>
      </c>
      <c r="I5" s="782" t="s">
        <v>2457</v>
      </c>
      <c r="J5" s="55">
        <f ca="1">J6+J10+J12</f>
        <v>0</v>
      </c>
      <c r="K5" s="2495" t="s">
        <v>2460</v>
      </c>
      <c r="L5" s="2489"/>
      <c r="M5" s="2490"/>
    </row>
    <row r="6" spans="1:33" ht="18" customHeight="1">
      <c r="A6" s="1831" t="s">
        <v>1824</v>
      </c>
      <c r="B6" s="3360" t="s">
        <v>2462</v>
      </c>
      <c r="C6" s="783">
        <f ca="1">ROUND(F6*F8*F7*(1-F9)/10000,0)</f>
        <v>30853</v>
      </c>
      <c r="D6" s="2496" t="s">
        <v>2461</v>
      </c>
      <c r="E6" s="784" t="s">
        <v>1738</v>
      </c>
      <c r="F6" s="785">
        <f ca="1">INDIRECT("'数据-取费表'!u"&amp;$G$1)</f>
        <v>1.2</v>
      </c>
      <c r="G6" s="1593"/>
      <c r="H6" s="2503" t="s">
        <v>2467</v>
      </c>
      <c r="I6" s="3360" t="s">
        <v>2462</v>
      </c>
      <c r="J6" s="783">
        <f ca="1">ROUND(M6*M8*M7*(1-M9)/10000,0)</f>
        <v>0</v>
      </c>
      <c r="K6" s="341" t="s">
        <v>1737</v>
      </c>
      <c r="L6" s="784" t="s">
        <v>1738</v>
      </c>
      <c r="M6" s="785">
        <f ca="1">INDIRECT("'数据-取费表'!z"&amp;$G$1)</f>
        <v>0</v>
      </c>
    </row>
    <row r="7" spans="1:33" ht="18" customHeight="1">
      <c r="A7" s="2499"/>
      <c r="B7" s="3361"/>
      <c r="C7" s="788"/>
      <c r="D7" s="789"/>
      <c r="E7" s="784" t="s">
        <v>1739</v>
      </c>
      <c r="F7" s="785">
        <f ca="1">IF(INDIRECT("'数据-取费表'!ah"&amp;$G$1)="",INDIRECT("'数据-取费表'!k"&amp;$G$1),INDIRECT("'数据-取费表'!ah"&amp;$G$1))</f>
        <v>782672.8</v>
      </c>
      <c r="G7" s="1593"/>
      <c r="H7" s="2488"/>
      <c r="I7" s="3361"/>
      <c r="J7" s="788"/>
      <c r="K7" s="789"/>
      <c r="L7" s="784" t="s">
        <v>1739</v>
      </c>
      <c r="M7" s="785">
        <f ca="1">F7</f>
        <v>782672.8</v>
      </c>
    </row>
    <row r="8" spans="1:33" ht="18" customHeight="1">
      <c r="A8" s="2492"/>
      <c r="B8" s="3362"/>
      <c r="C8" s="788"/>
      <c r="D8" s="789"/>
      <c r="E8" s="784" t="s">
        <v>1740</v>
      </c>
      <c r="F8" s="785">
        <f ca="1">INDIRECT("'数据-取费表'!ai"&amp;$G$1)</f>
        <v>365</v>
      </c>
      <c r="G8" s="1593"/>
      <c r="H8" s="2488"/>
      <c r="I8" s="3362"/>
      <c r="J8" s="788"/>
      <c r="K8" s="789"/>
      <c r="L8" s="784" t="s">
        <v>1740</v>
      </c>
      <c r="M8" s="785">
        <f ca="1">INDIRECT("'数据-取费表'!ai"&amp;$G$1)</f>
        <v>365</v>
      </c>
    </row>
    <row r="9" spans="1:33" ht="18" customHeight="1">
      <c r="A9" s="786"/>
      <c r="B9" s="3363"/>
      <c r="C9" s="788"/>
      <c r="D9" s="789"/>
      <c r="E9" s="784" t="s">
        <v>1741</v>
      </c>
      <c r="F9" s="794">
        <f ca="1">INDIRECT("'数据-取费表'!w"&amp;$G$1)</f>
        <v>0.1</v>
      </c>
      <c r="G9" s="1593"/>
      <c r="H9" s="2504"/>
      <c r="I9" s="3362"/>
      <c r="J9" s="788"/>
      <c r="K9" s="789"/>
      <c r="L9" s="795" t="s">
        <v>1741</v>
      </c>
      <c r="M9" s="796">
        <f ca="1">INDIRECT("'数据-取费表'!ab"&amp;$G$1)</f>
        <v>0</v>
      </c>
    </row>
    <row r="10" spans="1:33" ht="18" customHeight="1">
      <c r="A10" s="1831" t="s">
        <v>2465</v>
      </c>
      <c r="B10" s="2493" t="s">
        <v>2458</v>
      </c>
      <c r="C10" s="799">
        <f ca="1">ROUND(IF(F10="押一",C6/12*F11,IF(F10="押二",C6/12*2*F11,IF(F10="押三",C6/12*3*F11,C11*F11))),0)</f>
        <v>77</v>
      </c>
      <c r="D10" s="2500" t="s">
        <v>2974</v>
      </c>
      <c r="E10" s="2497" t="s">
        <v>2463</v>
      </c>
      <c r="F10" s="2620" t="s">
        <v>2991</v>
      </c>
      <c r="G10" s="1593"/>
      <c r="H10" s="2560" t="s">
        <v>2468</v>
      </c>
      <c r="I10" s="2565" t="s">
        <v>2458</v>
      </c>
      <c r="J10" s="783">
        <f ca="1">ROUND(IF(M10="押一",J6/12*M11,IF(M10="押二",J6/12*2*M11,IF(M10="押三",J6/12*3*M11,J11*M11))),0)</f>
        <v>0</v>
      </c>
      <c r="K10" s="2500" t="s">
        <v>2974</v>
      </c>
      <c r="L10" s="2497" t="s">
        <v>2463</v>
      </c>
      <c r="M10" s="2620"/>
    </row>
    <row r="11" spans="1:33" ht="18" customHeight="1">
      <c r="A11" s="790"/>
      <c r="B11" s="2494" t="s">
        <v>2572</v>
      </c>
      <c r="C11" s="2498"/>
      <c r="D11" s="789"/>
      <c r="E11" s="2497" t="s">
        <v>2464</v>
      </c>
      <c r="F11" s="796">
        <f ca="1">'数据-取费表'!B39</f>
        <v>1.4999999999999999E-2</v>
      </c>
      <c r="G11" s="1593"/>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3"/>
      <c r="H12" s="2550" t="s">
        <v>2469</v>
      </c>
      <c r="I12" s="2563" t="s">
        <v>2459</v>
      </c>
      <c r="J12" s="2564"/>
      <c r="K12" s="2539"/>
      <c r="L12" s="2540"/>
      <c r="M12" s="2553"/>
    </row>
    <row r="13" spans="1:33" ht="18" customHeight="1" thickTop="1">
      <c r="A13" s="1830">
        <v>2</v>
      </c>
      <c r="B13" s="1828" t="s">
        <v>1742</v>
      </c>
      <c r="C13" s="792">
        <f ca="1">ROUND(C29*F13,0)</f>
        <v>296241</v>
      </c>
      <c r="D13" s="1835" t="s">
        <v>2298</v>
      </c>
      <c r="E13" s="1835" t="s">
        <v>1744</v>
      </c>
      <c r="F13" s="2535">
        <f ca="1">INDIRECT("'数据-取费表'!y"&amp;$G$1)</f>
        <v>1</v>
      </c>
      <c r="G13" s="1593"/>
      <c r="H13" s="1830">
        <v>2</v>
      </c>
      <c r="I13" s="1828" t="s">
        <v>1742</v>
      </c>
      <c r="J13" s="1820">
        <f ca="1">ROUND(J14*J15,0)</f>
        <v>0</v>
      </c>
      <c r="K13" s="1822" t="s">
        <v>1743</v>
      </c>
      <c r="L13" s="2551"/>
      <c r="M13" s="2552"/>
    </row>
    <row r="14" spans="1:33" ht="18" customHeight="1">
      <c r="A14" s="1649" t="s">
        <v>1884</v>
      </c>
      <c r="B14" s="784" t="s">
        <v>644</v>
      </c>
      <c r="C14" s="804">
        <f ca="1">INDIRECT("'数据-取费表'!m"&amp;$G$1)+INDIRECT("'数据-取费表'!t"&amp;$G$1)</f>
        <v>187841</v>
      </c>
      <c r="D14" s="1980" t="s">
        <v>1745</v>
      </c>
      <c r="E14" s="1981"/>
      <c r="F14" s="805"/>
      <c r="G14" s="1593"/>
      <c r="H14" s="1650" t="s">
        <v>1830</v>
      </c>
      <c r="I14" s="2232" t="s">
        <v>2825</v>
      </c>
      <c r="J14" s="53">
        <f ca="1">C29</f>
        <v>296241</v>
      </c>
      <c r="K14" s="26"/>
      <c r="L14" s="801"/>
      <c r="M14" s="802"/>
    </row>
    <row r="15" spans="1:33" s="2065" customFormat="1" ht="18" customHeight="1" thickBot="1">
      <c r="A15" s="1649" t="s">
        <v>1885</v>
      </c>
      <c r="B15" s="784" t="s">
        <v>646</v>
      </c>
      <c r="C15" s="53">
        <f ca="1">ROUND(C14*F15,0)</f>
        <v>5635</v>
      </c>
      <c r="D15" s="806" t="s">
        <v>1746</v>
      </c>
      <c r="E15" s="806" t="s">
        <v>1747</v>
      </c>
      <c r="F15" s="807">
        <f>'数据-取费表'!B33</f>
        <v>0.03</v>
      </c>
      <c r="G15" s="1594"/>
      <c r="H15" s="2550" t="s">
        <v>1889</v>
      </c>
      <c r="I15" s="2545" t="s">
        <v>1744</v>
      </c>
      <c r="J15" s="2554">
        <f ca="1">INDIRECT("'数据-取费表'!ad"&amp;$G$1)</f>
        <v>0</v>
      </c>
      <c r="K15" s="2555"/>
      <c r="L15" s="2556"/>
      <c r="M15" s="2557"/>
      <c r="N15" s="2064"/>
      <c r="O15" s="2064"/>
      <c r="P15" s="2064"/>
      <c r="Q15" s="239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29468</v>
      </c>
      <c r="K16" s="1822" t="s">
        <v>1750</v>
      </c>
      <c r="L16" s="2485"/>
      <c r="M16" s="2490"/>
    </row>
    <row r="17" spans="1:33" s="2065" customFormat="1" ht="18" customHeight="1">
      <c r="A17" s="1649" t="s">
        <v>1887</v>
      </c>
      <c r="B17" s="784" t="s">
        <v>652</v>
      </c>
      <c r="C17" s="53">
        <f ca="1">ROUND(F17*(F43+INDIRECT("'数据-取费表'!S"&amp;$G$1))/10000,0)</f>
        <v>15653</v>
      </c>
      <c r="D17" s="784" t="s">
        <v>1751</v>
      </c>
      <c r="E17" s="784" t="s">
        <v>1752</v>
      </c>
      <c r="F17" s="56">
        <f>'数据-取费表'!B35</f>
        <v>200</v>
      </c>
      <c r="G17" s="1594"/>
      <c r="H17" s="1650" t="s">
        <v>1830</v>
      </c>
      <c r="I17" s="784" t="s">
        <v>655</v>
      </c>
      <c r="J17" s="53">
        <f ca="1">ROUND(IF(项目基本情况!B11="自然人",J5*M17,J18+J19+J20),0)</f>
        <v>25024</v>
      </c>
      <c r="K17" s="2484" t="s">
        <v>1753</v>
      </c>
      <c r="L17" s="2483" t="s">
        <v>1754</v>
      </c>
      <c r="M17" s="810" t="str">
        <f ca="1">IF(项目基本情况!B11="企业","",IF(INDIRECT("'数据-取费表'!c"&amp;$G$1)="住宅",5%,IF(M6*M7*M8/12/(1+'数据-取费表'!C42)&gt;20000,12%,7%)))</f>
        <v/>
      </c>
      <c r="N17" s="2064"/>
      <c r="O17" s="2064"/>
      <c r="P17" s="2064"/>
      <c r="Q17" s="239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658</v>
      </c>
      <c r="C18" s="53">
        <f ca="1">ROUND(C14*F18,0)</f>
        <v>2818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4"/>
      <c r="O18" s="2064"/>
      <c r="P18" s="2064"/>
      <c r="Q18" s="239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661</v>
      </c>
      <c r="C19" s="53">
        <f ca="1">SUM(C14:C18)</f>
        <v>211947</v>
      </c>
      <c r="D19" s="261" t="s">
        <v>1757</v>
      </c>
      <c r="E19" s="1983"/>
      <c r="F19" s="56"/>
      <c r="G19" s="1593"/>
      <c r="H19" s="1649" t="s">
        <v>1885</v>
      </c>
      <c r="I19" s="784" t="s">
        <v>1758</v>
      </c>
      <c r="J19" s="53">
        <f ca="1">IF(K19="按租金收入计税",ROUND(J5*M19,1),ROUND(C29*F33*0.7,1))</f>
        <v>24884.2</v>
      </c>
      <c r="K19" s="811" t="s">
        <v>664</v>
      </c>
      <c r="L19" s="784" t="s">
        <v>1747</v>
      </c>
      <c r="M19" s="809">
        <f>IF(K19="按租金收入计税",'数据-取费表'!B51,'数据-取费表'!B50)</f>
        <v>1.2E-2</v>
      </c>
    </row>
    <row r="20" spans="1:33" s="2065" customFormat="1" ht="18" customHeight="1">
      <c r="A20" s="1650" t="s">
        <v>1889</v>
      </c>
      <c r="B20" s="784" t="s">
        <v>665</v>
      </c>
      <c r="C20" s="53">
        <f ca="1">ROUND(C19*F20,0)</f>
        <v>4239</v>
      </c>
      <c r="D20" s="812" t="s">
        <v>1759</v>
      </c>
      <c r="E20" s="784" t="s">
        <v>1747</v>
      </c>
      <c r="F20" s="809">
        <f>'数据-取费表'!B37</f>
        <v>0.02</v>
      </c>
      <c r="G20" s="1594"/>
      <c r="H20" s="1652" t="s">
        <v>1880</v>
      </c>
      <c r="I20" s="341" t="s">
        <v>1760</v>
      </c>
      <c r="J20" s="54">
        <f ca="1">ROUND(M20*M21/10000,0)</f>
        <v>140</v>
      </c>
      <c r="K20" s="814" t="s">
        <v>1761</v>
      </c>
      <c r="L20" s="784" t="s">
        <v>1762</v>
      </c>
      <c r="M20" s="640">
        <f>'数据-取费表'!B52</f>
        <v>5</v>
      </c>
      <c r="N20" s="2064"/>
      <c r="O20" s="2064"/>
      <c r="P20" s="2064"/>
      <c r="Q20" s="239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2299</v>
      </c>
      <c r="E21" s="784" t="s">
        <v>1765</v>
      </c>
      <c r="F21" s="809">
        <f>'数据-取费表'!B38</f>
        <v>0.03</v>
      </c>
      <c r="G21" s="1594"/>
      <c r="H21" s="2505"/>
      <c r="I21" s="793"/>
      <c r="J21" s="69"/>
      <c r="K21" s="816"/>
      <c r="L21" s="784" t="s">
        <v>1766</v>
      </c>
      <c r="M21" s="785">
        <f ca="1">INDIRECT("'数据-取费表'!r"&amp;$G$1)</f>
        <v>279526</v>
      </c>
      <c r="N21" s="2064"/>
      <c r="O21" s="2064"/>
      <c r="P21" s="2064"/>
      <c r="Q21" s="239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4444</v>
      </c>
      <c r="K22" s="2483" t="s">
        <v>1769</v>
      </c>
      <c r="L22" s="784" t="s">
        <v>1747</v>
      </c>
      <c r="M22" s="817">
        <f ca="1">INDIRECT("'数据-取费表'!Ak"&amp;$G$1)</f>
        <v>1.4999999999999999E-2</v>
      </c>
    </row>
    <row r="23" spans="1:33" s="2065" customFormat="1" ht="18" customHeight="1">
      <c r="A23" s="1649" t="s">
        <v>1831</v>
      </c>
      <c r="B23" s="784" t="s">
        <v>2534</v>
      </c>
      <c r="C23" s="53">
        <f ca="1">ROUND(IF('数据-取费表'!B22&lt;=1,(C19+C20)*F24*F23/2,(C19+C20)*(POWER((1+F24),F23/2)-1)),0)</f>
        <v>21025</v>
      </c>
      <c r="D23" s="2570" t="str">
        <f>IF(F23&lt;=1,"(建造成本+管理费用)×利率×(建设周期÷2)","(建造成本+管理费用)×((1+利率)^(建设周期÷2)-1)")</f>
        <v>(建造成本+管理费用)×((1+利率)^(建设周期÷2)-1)</v>
      </c>
      <c r="E23" s="784" t="s">
        <v>1770</v>
      </c>
      <c r="F23" s="640">
        <f>'数据-取费表'!B20</f>
        <v>4</v>
      </c>
      <c r="G23" s="1594"/>
      <c r="H23" s="1650" t="s">
        <v>1890</v>
      </c>
      <c r="I23" s="784" t="s">
        <v>678</v>
      </c>
      <c r="J23" s="53">
        <f ca="1">ROUND(J13*M23,0)</f>
        <v>0</v>
      </c>
      <c r="K23" s="2483" t="s">
        <v>1771</v>
      </c>
      <c r="L23" s="784" t="s">
        <v>1747</v>
      </c>
      <c r="M23" s="818">
        <f ca="1">INDIRECT("'数据-取费表'!Al"&amp;$G$1)</f>
        <v>1.5E-3</v>
      </c>
      <c r="N23" s="2064"/>
      <c r="O23" s="2064"/>
      <c r="P23" s="2064"/>
      <c r="Q23" s="239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2.8999999999999998E-3</v>
      </c>
      <c r="D24" s="2570" t="str">
        <f>IF(F23&lt;=1,"销售费用×利率×(建设周期÷2)","销售费用×((1+利率)^(建设周期÷2)-1)")</f>
        <v>销售费用×((1+利率)^(建设周期÷2)-1)</v>
      </c>
      <c r="E24" s="784" t="s">
        <v>1773</v>
      </c>
      <c r="F24" s="819">
        <f ca="1">'数据-取费表'!B40</f>
        <v>4.7500000000000001E-2</v>
      </c>
      <c r="G24" s="1594"/>
      <c r="H24" s="2550" t="s">
        <v>1891</v>
      </c>
      <c r="I24" s="2545" t="s">
        <v>665</v>
      </c>
      <c r="J24" s="2543">
        <f ca="1">ROUND(J5*M24,0)</f>
        <v>0</v>
      </c>
      <c r="K24" s="2544" t="s">
        <v>1774</v>
      </c>
      <c r="L24" s="2545" t="s">
        <v>1747</v>
      </c>
      <c r="M24" s="2541">
        <f ca="1">INDIRECT("'数据-取费表'!Am"&amp;$G$1)</f>
        <v>0.01</v>
      </c>
      <c r="N24" s="2064"/>
      <c r="O24" s="2064"/>
      <c r="P24" s="2064"/>
      <c r="Q24" s="239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683</v>
      </c>
      <c r="C25" s="53"/>
      <c r="D25" s="261" t="s">
        <v>1775</v>
      </c>
      <c r="E25" s="1983"/>
      <c r="F25" s="56"/>
      <c r="G25" s="1593"/>
      <c r="H25" s="1830" t="s">
        <v>1776</v>
      </c>
      <c r="I25" s="3009" t="s">
        <v>2821</v>
      </c>
      <c r="J25" s="792">
        <f ca="1">J5-J16</f>
        <v>-29468</v>
      </c>
      <c r="K25" s="2547" t="s">
        <v>1777</v>
      </c>
      <c r="L25" s="2548"/>
      <c r="M25" s="2549"/>
    </row>
    <row r="26" spans="1:33" ht="18" customHeight="1">
      <c r="A26" s="1649" t="s">
        <v>1831</v>
      </c>
      <c r="B26" s="784" t="s">
        <v>2437</v>
      </c>
      <c r="C26" s="53">
        <f ca="1">ROUND((C19+C20)*F26,0)</f>
        <v>32428</v>
      </c>
      <c r="D26" s="812" t="s">
        <v>1778</v>
      </c>
      <c r="E26" s="795" t="s">
        <v>1779</v>
      </c>
      <c r="F26" s="794">
        <f ca="1">INDIRECT("'数据-取费表'!q"&amp;$G$1)</f>
        <v>0.15</v>
      </c>
      <c r="G26" s="1593"/>
      <c r="H26" s="2501" t="s">
        <v>1780</v>
      </c>
      <c r="I26" s="2233"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5"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4"/>
      <c r="O28" s="2064"/>
      <c r="P28" s="2064"/>
      <c r="Q28" s="239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2" t="s">
        <v>1892</v>
      </c>
      <c r="B29" s="2540" t="s">
        <v>2301</v>
      </c>
      <c r="C29" s="2543">
        <f ca="1">ROUND((C19+C20+C23+C26)/(1-F21-C24-C27-C28),0)</f>
        <v>296241</v>
      </c>
      <c r="D29" s="2544"/>
      <c r="E29" s="2545"/>
      <c r="F29" s="2546"/>
      <c r="G29" s="1594"/>
      <c r="H29" s="823" t="s">
        <v>1787</v>
      </c>
      <c r="I29" s="824" t="s">
        <v>1788</v>
      </c>
      <c r="J29" s="825">
        <f ca="1">ROUND(J26/(1+F40)^F41,0)</f>
        <v>0</v>
      </c>
      <c r="K29" s="826" t="s">
        <v>1789</v>
      </c>
      <c r="L29" s="827"/>
      <c r="M29" s="828">
        <f ca="1">INDIRECT("'数据-取费表'!k"&amp;$G$1)</f>
        <v>782672.8</v>
      </c>
      <c r="N29" s="2064"/>
      <c r="O29" s="2064"/>
      <c r="P29" s="2064"/>
      <c r="Q29" s="239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10669</v>
      </c>
      <c r="D30" s="1822" t="s">
        <v>1791</v>
      </c>
      <c r="E30" s="2485"/>
      <c r="F30" s="2490"/>
      <c r="G30" s="2063"/>
      <c r="H30" s="2066"/>
      <c r="I30" s="2067"/>
      <c r="J30" s="2068"/>
      <c r="K30" s="2069"/>
      <c r="L30" s="2070"/>
      <c r="M30" s="2071"/>
    </row>
    <row r="31" spans="1:33" ht="18" customHeight="1">
      <c r="A31" s="1650" t="s">
        <v>1830</v>
      </c>
      <c r="B31" s="784" t="s">
        <v>655</v>
      </c>
      <c r="C31" s="53">
        <f ca="1">ROUND(IF(项目基本情况!B11="自然人",C5*F31,C32+C33+C34),1)</f>
        <v>5471.5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1620.1</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3711.6</v>
      </c>
      <c r="D33" s="811" t="s">
        <v>2992</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139.80000000000001</v>
      </c>
      <c r="D34" s="814" t="s">
        <v>1799</v>
      </c>
      <c r="E34" s="784" t="s">
        <v>1800</v>
      </c>
      <c r="F34" s="640">
        <f>'数据-取费表'!B52</f>
        <v>5</v>
      </c>
      <c r="G34" s="2063"/>
      <c r="H34" s="2066"/>
      <c r="I34" s="835" t="s">
        <v>1813</v>
      </c>
      <c r="J34" s="836"/>
      <c r="K34" s="2081"/>
      <c r="L34" s="2080"/>
      <c r="M34" s="2080"/>
    </row>
    <row r="35" spans="1:18" ht="18" customHeight="1">
      <c r="A35" s="815"/>
      <c r="B35" s="793"/>
      <c r="C35" s="69"/>
      <c r="D35" s="816"/>
      <c r="E35" s="784" t="s">
        <v>1801</v>
      </c>
      <c r="F35" s="785">
        <f ca="1">INDIRECT("'数据-取费表'!r"&amp;$G$1)</f>
        <v>279526</v>
      </c>
      <c r="G35" s="2063"/>
      <c r="H35" s="2066"/>
      <c r="I35" s="837" t="s">
        <v>1814</v>
      </c>
      <c r="J35" s="838">
        <f ca="1">ROUND(C13*J36,0)</f>
        <v>25180</v>
      </c>
      <c r="K35" s="2079"/>
      <c r="L35" s="2078"/>
      <c r="M35" s="2078"/>
    </row>
    <row r="36" spans="1:18" ht="18" customHeight="1">
      <c r="A36" s="1650" t="s">
        <v>1889</v>
      </c>
      <c r="B36" s="784" t="s">
        <v>1802</v>
      </c>
      <c r="C36" s="53">
        <f ca="1">ROUND(C29*F36,1)</f>
        <v>4443.6000000000004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678</v>
      </c>
      <c r="C37" s="53">
        <f ca="1">ROUND(C13*F37,1)</f>
        <v>444.4</v>
      </c>
      <c r="D37" s="1978" t="s">
        <v>1804</v>
      </c>
      <c r="E37" s="784" t="s">
        <v>1796</v>
      </c>
      <c r="F37" s="818">
        <f ca="1">INDIRECT("'数据-取费表'!Al"&amp;$G$1)</f>
        <v>1.5E-3</v>
      </c>
      <c r="G37" s="2063"/>
      <c r="H37" s="2078"/>
      <c r="I37" s="841" t="s">
        <v>1816</v>
      </c>
      <c r="J37" s="842"/>
      <c r="K37" s="2083"/>
      <c r="L37" s="2078"/>
      <c r="M37" s="2078"/>
    </row>
    <row r="38" spans="1:18" ht="18" customHeight="1" thickBot="1">
      <c r="A38" s="2550" t="s">
        <v>1891</v>
      </c>
      <c r="B38" s="2545" t="s">
        <v>665</v>
      </c>
      <c r="C38" s="2543">
        <f ca="1">ROUND(C5*F38,1)</f>
        <v>309.3</v>
      </c>
      <c r="D38" s="2544" t="s">
        <v>1805</v>
      </c>
      <c r="E38" s="2545" t="s">
        <v>1796</v>
      </c>
      <c r="F38" s="2541">
        <f ca="1">INDIRECT("'数据-取费表'!Am"&amp;$G$1)</f>
        <v>0.01</v>
      </c>
      <c r="G38" s="2063"/>
      <c r="H38" s="2078"/>
      <c r="I38" s="843" t="s">
        <v>1817</v>
      </c>
      <c r="J38" s="844"/>
      <c r="K38" s="2084"/>
      <c r="L38" s="2078"/>
      <c r="M38" s="2078"/>
    </row>
    <row r="39" spans="1:18" ht="24.6" customHeight="1" thickTop="1">
      <c r="A39" s="1830" t="s">
        <v>1894</v>
      </c>
      <c r="B39" s="3009" t="s">
        <v>2821</v>
      </c>
      <c r="C39" s="792">
        <f ca="1">C5-C30</f>
        <v>20261</v>
      </c>
      <c r="D39" s="2547" t="s">
        <v>1806</v>
      </c>
      <c r="E39" s="2548"/>
      <c r="F39" s="2549"/>
      <c r="G39" s="2063"/>
      <c r="H39" s="2078"/>
      <c r="I39" s="837" t="s">
        <v>1818</v>
      </c>
      <c r="J39" s="845">
        <f ca="1">ROUND(J35/C39,3)</f>
        <v>1.2430000000000001</v>
      </c>
      <c r="K39" s="2084"/>
      <c r="L39" s="2078"/>
      <c r="M39" s="2078"/>
    </row>
    <row r="40" spans="1:18" ht="18" customHeight="1">
      <c r="A40" s="781" t="s">
        <v>1895</v>
      </c>
      <c r="B40" s="2233" t="s">
        <v>2302</v>
      </c>
      <c r="C40" s="783">
        <f ca="1">ROUND(C39*(1-((1+F42)/(1+F40))^F41)/(F40-F42),0)</f>
        <v>359658</v>
      </c>
      <c r="D40" s="814" t="s">
        <v>1807</v>
      </c>
      <c r="E40" s="784" t="s">
        <v>2418</v>
      </c>
      <c r="F40" s="794">
        <f ca="1">INDIRECT("'数据-取费表'!I"&amp;$G$1)</f>
        <v>5.5E-2</v>
      </c>
      <c r="G40" s="2063"/>
      <c r="H40" s="2063"/>
      <c r="I40" s="837" t="s">
        <v>1819</v>
      </c>
      <c r="J40" s="845">
        <f ca="1">1-J39</f>
        <v>-0.2430000000000001</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26.36</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0.82399999999999995</v>
      </c>
      <c r="K42" s="2083"/>
      <c r="L42" s="1989"/>
      <c r="M42" s="1989"/>
    </row>
    <row r="43" spans="1:18" ht="18" customHeight="1" thickBot="1">
      <c r="A43" s="823" t="s">
        <v>1787</v>
      </c>
      <c r="B43" s="824" t="s">
        <v>1810</v>
      </c>
      <c r="C43" s="825">
        <f ca="1">ROUND(C40*10000/F43,0)</f>
        <v>4595</v>
      </c>
      <c r="D43" s="826" t="s">
        <v>1811</v>
      </c>
      <c r="E43" s="827" t="s">
        <v>1812</v>
      </c>
      <c r="F43" s="828">
        <f ca="1">INDIRECT("'数据-取费表'!k"&amp;$G$1)</f>
        <v>782672.8</v>
      </c>
      <c r="G43" s="2063"/>
      <c r="H43" s="1989"/>
      <c r="I43" s="847" t="s">
        <v>1822</v>
      </c>
      <c r="J43" s="848">
        <f ca="1">1-J42</f>
        <v>0.17600000000000005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3">
        <f ca="1">C67-C40</f>
        <v>-428787</v>
      </c>
      <c r="D46" s="2086"/>
      <c r="E46" s="2086"/>
      <c r="F46" s="2086"/>
      <c r="I46" s="2377" t="s">
        <v>2342</v>
      </c>
      <c r="J46" s="2378"/>
      <c r="K46" s="2379"/>
      <c r="L46" s="3160" t="str">
        <f ca="1">IF(OR(M47="住宅",D1="土地（套用方法）"),0,IF(L48&gt;J51,L60,J60))</f>
        <v>0</v>
      </c>
      <c r="O46" s="2393" t="s">
        <v>2409</v>
      </c>
      <c r="P46" s="1593"/>
      <c r="Q46" s="1605"/>
      <c r="R46" s="1593"/>
    </row>
    <row r="47" spans="1:18" s="2060" customFormat="1" ht="18" customHeight="1" thickBot="1">
      <c r="A47" s="2371">
        <v>1</v>
      </c>
      <c r="B47" s="2372" t="s">
        <v>634</v>
      </c>
      <c r="C47" s="2573">
        <f ca="1">C48+C52+C54</f>
        <v>0</v>
      </c>
      <c r="D47" s="2086"/>
      <c r="E47" s="2086"/>
      <c r="F47" s="2086"/>
      <c r="I47" s="3150" t="s">
        <v>2343</v>
      </c>
      <c r="J47" s="2380" t="s">
        <v>2993</v>
      </c>
      <c r="K47" s="3157" t="s">
        <v>2348</v>
      </c>
      <c r="L47" s="3161">
        <f ca="1">INDIRECT("'数据-取费表'!d"&amp;$G$1)</f>
        <v>40</v>
      </c>
      <c r="M47" s="1605" t="str">
        <f>IF(ISNUMBER(FIND("住宅",C1)),"住宅","非住宅")</f>
        <v>非住宅</v>
      </c>
      <c r="O47" s="2394" t="s">
        <v>2374</v>
      </c>
      <c r="P47" s="2395" t="s">
        <v>2375</v>
      </c>
      <c r="Q47" s="2396" t="s">
        <v>2376</v>
      </c>
      <c r="R47" s="2395" t="s">
        <v>2377</v>
      </c>
    </row>
    <row r="48" spans="1:18" s="2060" customFormat="1" ht="18" customHeight="1" thickBot="1">
      <c r="A48" s="2641" t="s">
        <v>2536</v>
      </c>
      <c r="B48" s="2642" t="s">
        <v>2537</v>
      </c>
      <c r="C48" s="2373">
        <f ca="1">ROUND(F48*F50*F49*(1-F51)/10000,0)</f>
        <v>0</v>
      </c>
      <c r="D48" s="2374" t="s">
        <v>635</v>
      </c>
      <c r="E48" s="2375" t="s">
        <v>2297</v>
      </c>
      <c r="F48" s="2376"/>
      <c r="G48" s="2091"/>
      <c r="I48" s="3126" t="s">
        <v>2344</v>
      </c>
      <c r="J48" s="2381" t="s">
        <v>2349</v>
      </c>
      <c r="K48" s="3158" t="s">
        <v>2350</v>
      </c>
      <c r="L48" s="1909">
        <f ca="1">INDIRECT("'数据-取费表'!f"&amp;$G$1)</f>
        <v>26.36</v>
      </c>
      <c r="O48" s="2397" t="s">
        <v>2378</v>
      </c>
      <c r="P48" s="2398" t="s">
        <v>2404</v>
      </c>
      <c r="Q48" s="2399">
        <f ca="1">C40+J29</f>
        <v>359658</v>
      </c>
      <c r="R48" s="2398" t="s">
        <v>2379</v>
      </c>
    </row>
    <row r="49" spans="1:18" s="2060" customFormat="1" ht="18" customHeight="1" thickBot="1">
      <c r="A49" s="786"/>
      <c r="B49" s="787"/>
      <c r="C49" s="788"/>
      <c r="D49" s="789"/>
      <c r="E49" s="784" t="s">
        <v>1739</v>
      </c>
      <c r="F49" s="785">
        <f ca="1">F7</f>
        <v>782672.8</v>
      </c>
      <c r="G49" s="2091"/>
      <c r="H49" s="2094"/>
      <c r="I49" s="3126" t="s">
        <v>2345</v>
      </c>
      <c r="J49" s="2382">
        <v>2021</v>
      </c>
      <c r="K49" s="3159" t="s">
        <v>2351</v>
      </c>
      <c r="L49" s="2383"/>
      <c r="O49" s="2397" t="s">
        <v>2380</v>
      </c>
      <c r="P49" s="2398" t="s">
        <v>2405</v>
      </c>
      <c r="Q49" s="2399" t="str">
        <f ca="1">J60</f>
        <v>0</v>
      </c>
      <c r="R49" s="2398" t="s">
        <v>2381</v>
      </c>
    </row>
    <row r="50" spans="1:18" s="2060" customFormat="1" ht="18" customHeight="1" thickBot="1">
      <c r="A50" s="786"/>
      <c r="B50" s="787"/>
      <c r="C50" s="788"/>
      <c r="D50" s="789"/>
      <c r="E50" s="784" t="s">
        <v>1740</v>
      </c>
      <c r="F50" s="785">
        <f ca="1">F8</f>
        <v>365</v>
      </c>
      <c r="G50" s="2096"/>
      <c r="H50" s="2094"/>
      <c r="I50" s="3126" t="s">
        <v>2346</v>
      </c>
      <c r="J50" s="3154">
        <f>SUMPRODUCT((I63:I65=J47)*(J62:L62=J48)*(J63:L65))</f>
        <v>60</v>
      </c>
      <c r="K50" s="3159" t="s">
        <v>2352</v>
      </c>
      <c r="L50" s="2383"/>
      <c r="O50" s="2400" t="s">
        <v>2382</v>
      </c>
      <c r="P50" s="2398" t="s">
        <v>2406</v>
      </c>
      <c r="Q50" s="2399">
        <f ca="1">C29</f>
        <v>296241</v>
      </c>
      <c r="R50" s="2398" t="s">
        <v>2379</v>
      </c>
    </row>
    <row r="51" spans="1:18" s="2060" customFormat="1" ht="18" customHeight="1" thickBot="1">
      <c r="A51" s="786"/>
      <c r="B51" s="787"/>
      <c r="C51" s="788"/>
      <c r="D51" s="789"/>
      <c r="E51" s="784" t="s">
        <v>639</v>
      </c>
      <c r="F51" s="2370"/>
      <c r="H51" s="2094"/>
      <c r="I51" s="3151" t="s">
        <v>2347</v>
      </c>
      <c r="J51" s="3155">
        <f>IF(J49="",J50,J49+J50-YEAR('数据-取费表'!B2))</f>
        <v>63</v>
      </c>
      <c r="K51" s="3126" t="s">
        <v>2353</v>
      </c>
      <c r="L51" s="3162">
        <f ca="1">ROUND(-PV(INDIRECT("'数据-取费表'!h"&amp;$G$1),L48,(C39-C13*J36),0),0)</f>
        <v>-71200</v>
      </c>
      <c r="O51" s="2400" t="s">
        <v>2383</v>
      </c>
      <c r="P51" s="2398" t="s">
        <v>2384</v>
      </c>
      <c r="Q51" s="2401" t="e">
        <f ca="1">J58</f>
        <v>#VALUE!</v>
      </c>
      <c r="R51" s="2402"/>
    </row>
    <row r="52" spans="1:18" s="2060" customFormat="1" ht="18" customHeight="1" thickBot="1">
      <c r="A52" s="781" t="s">
        <v>2535</v>
      </c>
      <c r="B52" s="2493" t="s">
        <v>2458</v>
      </c>
      <c r="C52" s="799">
        <f ca="1">ROUND(IF(F52="押一",C48/12*F11,IF(F52="押二",C48/12*2*F11,IF(F52="押三",C48/12*3*F11,C53*F11))),0)</f>
        <v>0</v>
      </c>
      <c r="D52" s="2500" t="s">
        <v>2975</v>
      </c>
      <c r="E52" s="2497" t="s">
        <v>2463</v>
      </c>
      <c r="F52" s="2620"/>
      <c r="I52" s="3152" t="s">
        <v>2420</v>
      </c>
      <c r="J52" s="2384">
        <v>0.09</v>
      </c>
      <c r="K52" s="3152" t="s">
        <v>2419</v>
      </c>
      <c r="L52" s="2384"/>
      <c r="O52" s="2400" t="s">
        <v>2385</v>
      </c>
      <c r="P52" s="2398" t="s">
        <v>2386</v>
      </c>
      <c r="Q52" s="2401">
        <f>J52</f>
        <v>0.09</v>
      </c>
      <c r="R52" s="2402"/>
    </row>
    <row r="53" spans="1:18" s="2060" customFormat="1" ht="39.75" customHeight="1" thickBot="1">
      <c r="A53" s="786"/>
      <c r="B53" s="2494" t="s">
        <v>2572</v>
      </c>
      <c r="C53" s="2498"/>
      <c r="D53" s="2500"/>
      <c r="E53" s="2497"/>
      <c r="F53" s="800"/>
      <c r="I53" s="3153" t="s">
        <v>2979</v>
      </c>
      <c r="J53" s="3156">
        <f ca="1">IF(M47="住宅",IF(D1="——",MAX(J51,L48),MAX(J51,L48-'数据-取费表'!B20)),IF(D1="——",MIN(J51,L48),MIN(J51,L48-'数据-取费表'!B20)))</f>
        <v>26.36</v>
      </c>
      <c r="K53" s="3358" t="s">
        <v>2966</v>
      </c>
      <c r="L53" s="3359"/>
      <c r="O53" s="2400" t="s">
        <v>2387</v>
      </c>
      <c r="P53" s="2398" t="s">
        <v>2388</v>
      </c>
      <c r="Q53" s="2399">
        <f ca="1">J53</f>
        <v>26.36</v>
      </c>
      <c r="R53" s="2398" t="s">
        <v>2389</v>
      </c>
    </row>
    <row r="54" spans="1:18" s="2060" customFormat="1" ht="18" customHeight="1" thickBot="1">
      <c r="A54" s="2536" t="s">
        <v>2466</v>
      </c>
      <c r="B54" s="2537" t="s">
        <v>2459</v>
      </c>
      <c r="C54" s="2538"/>
      <c r="D54" s="2500"/>
      <c r="E54" s="249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7" t="s">
        <v>2390</v>
      </c>
      <c r="P54" s="2398" t="s">
        <v>2407</v>
      </c>
      <c r="Q54" s="2399">
        <f ca="1">Q48+Q49</f>
        <v>359658</v>
      </c>
      <c r="R54" s="2402" t="s">
        <v>2391</v>
      </c>
    </row>
    <row r="55" spans="1:18" s="2060" customFormat="1" ht="18" customHeight="1" thickTop="1" thickBot="1">
      <c r="A55" s="797">
        <v>2</v>
      </c>
      <c r="B55" s="798" t="s">
        <v>643</v>
      </c>
      <c r="C55" s="799">
        <f ca="1">C13</f>
        <v>296241</v>
      </c>
      <c r="D55" s="795"/>
      <c r="E55" s="795"/>
      <c r="F55" s="800"/>
      <c r="I55" s="3165" t="s">
        <v>2354</v>
      </c>
      <c r="J55" s="3101" t="e">
        <f ca="1">ROUND(IF(J47="钢混",J57/J50,1-(1-2%)*(J50-J57)/J50),3)</f>
        <v>#VALUE!</v>
      </c>
      <c r="K55" s="3166" t="s">
        <v>2355</v>
      </c>
      <c r="L55" s="2385"/>
      <c r="O55" s="2403" t="s">
        <v>2410</v>
      </c>
      <c r="P55" s="1593"/>
      <c r="Q55" s="1605"/>
      <c r="R55" s="1593"/>
    </row>
    <row r="56" spans="1:18" s="2060" customFormat="1" ht="42.75" customHeight="1" thickBot="1">
      <c r="A56" s="1651"/>
      <c r="B56" s="2232" t="s">
        <v>2303</v>
      </c>
      <c r="C56" s="53">
        <f ca="1">C29</f>
        <v>296241</v>
      </c>
      <c r="D56" s="2638"/>
      <c r="E56" s="784"/>
      <c r="F56" s="809"/>
      <c r="I56" s="3167" t="s">
        <v>2356</v>
      </c>
      <c r="J56" s="3177" t="s">
        <v>1678</v>
      </c>
      <c r="K56" s="3126" t="s">
        <v>2361</v>
      </c>
      <c r="L56" s="1909" t="str">
        <f ca="1">IF(L48&lt;J51,"——",L48-J51)</f>
        <v>——</v>
      </c>
      <c r="O56" s="2394" t="s">
        <v>2374</v>
      </c>
      <c r="P56" s="2395" t="s">
        <v>2375</v>
      </c>
      <c r="Q56" s="2396" t="s">
        <v>2376</v>
      </c>
      <c r="R56" s="2395" t="s">
        <v>2377</v>
      </c>
    </row>
    <row r="57" spans="1:18" s="2060" customFormat="1" ht="28.5" customHeight="1" thickBot="1">
      <c r="A57" s="797" t="s">
        <v>1748</v>
      </c>
      <c r="B57" s="798" t="s">
        <v>650</v>
      </c>
      <c r="C57" s="799">
        <f ca="1">ROUND(C58+C63+C64+C65,0)</f>
        <v>5028</v>
      </c>
      <c r="D57" s="26" t="s">
        <v>1750</v>
      </c>
      <c r="E57" s="2639"/>
      <c r="F57" s="56"/>
      <c r="I57" s="3168" t="s">
        <v>2357</v>
      </c>
      <c r="J57" s="3169" t="str">
        <f ca="1">IF(OR(M47="住宅",J51&lt;L48,J56="是"),"——",J51-L48)</f>
        <v>——</v>
      </c>
      <c r="K57" s="3126" t="s">
        <v>2362</v>
      </c>
      <c r="L57" s="1909" t="str">
        <f ca="1">IF(L48&lt;J51,"——",IF(L55="比较法",L49,IF(L55="基准地价",L50,L51)))</f>
        <v>——</v>
      </c>
      <c r="O57" s="2397" t="s">
        <v>2378</v>
      </c>
      <c r="P57" s="2398" t="s">
        <v>2408</v>
      </c>
      <c r="Q57" s="2399">
        <f ca="1">C40+J29</f>
        <v>359658</v>
      </c>
      <c r="R57" s="2398" t="s">
        <v>2379</v>
      </c>
    </row>
    <row r="58" spans="1:18" s="2060" customFormat="1" ht="28.5" customHeight="1" thickBot="1">
      <c r="A58" s="1650" t="s">
        <v>1824</v>
      </c>
      <c r="B58" s="784" t="s">
        <v>655</v>
      </c>
      <c r="C58" s="53">
        <f ca="1">ROUND(IF(项目基本情况!B11="自然人",C47*F58,C59+C60+C61),1)</f>
        <v>139.80000000000001</v>
      </c>
      <c r="D58" s="2637" t="s">
        <v>656</v>
      </c>
      <c r="E58" s="2638" t="s">
        <v>689</v>
      </c>
      <c r="F58" s="810" t="str">
        <f ca="1">IF(项目基本情况!B11="企业","",IF(INDIRECT("'数据-取费表'!c"&amp;$G$1)="住宅",5%,IF(F48*F49*F50/12/(1+'数据-取费表'!C42)&gt;20000,12%,7%)))</f>
        <v/>
      </c>
      <c r="I58" s="3168" t="s">
        <v>2358</v>
      </c>
      <c r="J58" s="3102" t="e">
        <f ca="1">IF(J55&lt;0.4,0.4,J55)</f>
        <v>#VALUE!</v>
      </c>
      <c r="K58" s="3126" t="s">
        <v>2363</v>
      </c>
      <c r="L58" s="1909" t="e">
        <f ca="1">ROUND(POWER(1+L52,L47-L48)*(POWER(1+L52,L48)-1)/(POWER(1+L52,L47)-1),4)</f>
        <v>#DIV/0!</v>
      </c>
      <c r="O58" s="2397" t="s">
        <v>2380</v>
      </c>
      <c r="P58" s="2398" t="s">
        <v>2411</v>
      </c>
      <c r="Q58" s="2399">
        <f ca="1">L60</f>
        <v>0</v>
      </c>
      <c r="R58" s="2402" t="s">
        <v>2413</v>
      </c>
    </row>
    <row r="59" spans="1:18" s="2060" customFormat="1" ht="28.5" customHeight="1" thickBot="1">
      <c r="A59" s="1649" t="s">
        <v>1831</v>
      </c>
      <c r="B59" s="784" t="s">
        <v>659</v>
      </c>
      <c r="C59" s="53">
        <f ca="1">ROUND(C47*F59/1.05,1)</f>
        <v>0</v>
      </c>
      <c r="D59" s="2638" t="s">
        <v>1756</v>
      </c>
      <c r="E59" s="784" t="s">
        <v>1747</v>
      </c>
      <c r="F59" s="809">
        <f t="shared" ref="F59:F65" si="0">F32</f>
        <v>5.5000000000000007E-2</v>
      </c>
      <c r="I59" s="3168" t="s">
        <v>2359</v>
      </c>
      <c r="J59" s="3169" t="str">
        <f ca="1">IF(OR(M47="住宅",J51&lt;L48,J56="是"),"——",ROUND(C29*J58,0))</f>
        <v>——</v>
      </c>
      <c r="K59" s="3126"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0" t="s">
        <v>2382</v>
      </c>
      <c r="P59" s="2398" t="s">
        <v>2412</v>
      </c>
      <c r="Q59" s="2399">
        <f>IF(L55="比较法",L49,IF(L55="基准地价",L50,0))</f>
        <v>0</v>
      </c>
      <c r="R59" s="2398" t="s">
        <v>2379</v>
      </c>
    </row>
    <row r="60" spans="1:18" s="2060"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70" t="s">
        <v>2360</v>
      </c>
      <c r="J60" s="3171" t="str">
        <f ca="1">IF(OR(M47="住宅",J51&lt;L48,J56="是"),"0",ROUND(J59/(1+J52)^J53,0))</f>
        <v>0</v>
      </c>
      <c r="K60" s="3172" t="s">
        <v>2365</v>
      </c>
      <c r="L60" s="3171">
        <f ca="1">IF(OR(M47="住宅",L48&lt;J51),0,ROUND(L57*(L58/L59-1),0))</f>
        <v>0</v>
      </c>
      <c r="O60" s="2400" t="s">
        <v>2383</v>
      </c>
      <c r="P60" s="2398" t="s">
        <v>2392</v>
      </c>
      <c r="Q60" s="2401">
        <f>L52</f>
        <v>0</v>
      </c>
      <c r="R60" s="2402"/>
    </row>
    <row r="61" spans="1:18" s="2060" customFormat="1" ht="18" customHeight="1" thickBot="1">
      <c r="A61" s="1652" t="s">
        <v>1833</v>
      </c>
      <c r="B61" s="341" t="s">
        <v>667</v>
      </c>
      <c r="C61" s="54">
        <f ca="1">ROUND(F61*F62/10000,1)</f>
        <v>139.80000000000001</v>
      </c>
      <c r="D61" s="814" t="s">
        <v>668</v>
      </c>
      <c r="E61" s="784" t="s">
        <v>669</v>
      </c>
      <c r="F61" s="640">
        <f t="shared" si="0"/>
        <v>5</v>
      </c>
      <c r="K61" s="2087"/>
      <c r="O61" s="2400" t="s">
        <v>2385</v>
      </c>
      <c r="P61" s="2398" t="s">
        <v>2393</v>
      </c>
      <c r="Q61" s="2399" t="e">
        <f ca="1">L58</f>
        <v>#DIV/0!</v>
      </c>
      <c r="R61" s="2402" t="s">
        <v>2394</v>
      </c>
    </row>
    <row r="62" spans="1:18" s="2060" customFormat="1" ht="15.75" thickBot="1">
      <c r="A62" s="815"/>
      <c r="B62" s="793"/>
      <c r="C62" s="69"/>
      <c r="D62" s="816"/>
      <c r="E62" s="784" t="s">
        <v>673</v>
      </c>
      <c r="F62" s="785">
        <f t="shared" ca="1" si="0"/>
        <v>279526</v>
      </c>
      <c r="I62" s="3173" t="s">
        <v>2366</v>
      </c>
      <c r="J62" s="3174" t="s">
        <v>2367</v>
      </c>
      <c r="K62" s="3174" t="s">
        <v>2368</v>
      </c>
      <c r="L62" s="3174" t="s">
        <v>2349</v>
      </c>
      <c r="M62" s="3175" t="s">
        <v>2942</v>
      </c>
      <c r="O62" s="2400" t="s">
        <v>2387</v>
      </c>
      <c r="P62" s="2398" t="str">
        <f>K59</f>
        <v>建筑物剩余耐用年限下的土地年期修正系数Kn</v>
      </c>
      <c r="Q62" s="2399" t="e">
        <f ca="1">L59</f>
        <v>#DIV/0!</v>
      </c>
      <c r="R62" s="2402" t="s">
        <v>2396</v>
      </c>
    </row>
    <row r="63" spans="1:18" s="2060" customFormat="1" ht="15.75" thickBot="1">
      <c r="A63" s="1650" t="s">
        <v>1889</v>
      </c>
      <c r="B63" s="784" t="s">
        <v>675</v>
      </c>
      <c r="C63" s="53">
        <f ca="1">ROUND(C56*F63,1)</f>
        <v>4443.6000000000004</v>
      </c>
      <c r="D63" s="2638" t="s">
        <v>1803</v>
      </c>
      <c r="E63" s="784" t="s">
        <v>1747</v>
      </c>
      <c r="F63" s="817">
        <f t="shared" ca="1" si="0"/>
        <v>1.4999999999999999E-2</v>
      </c>
      <c r="I63" s="3173" t="s">
        <v>2369</v>
      </c>
      <c r="J63" s="3174">
        <v>70</v>
      </c>
      <c r="K63" s="3174">
        <v>50</v>
      </c>
      <c r="L63" s="3174">
        <v>80</v>
      </c>
      <c r="M63" s="3176">
        <v>0.02</v>
      </c>
      <c r="O63" s="2397" t="s">
        <v>2390</v>
      </c>
      <c r="P63" s="2398" t="s">
        <v>2407</v>
      </c>
      <c r="Q63" s="2399">
        <f ca="1">Q57+Q58</f>
        <v>359658</v>
      </c>
      <c r="R63" s="2402" t="s">
        <v>2391</v>
      </c>
    </row>
    <row r="64" spans="1:18" s="2060" customFormat="1" ht="16.5" thickBot="1">
      <c r="A64" s="1650" t="s">
        <v>1890</v>
      </c>
      <c r="B64" s="784" t="s">
        <v>678</v>
      </c>
      <c r="C64" s="53">
        <f ca="1">ROUND(C55*F64,1)</f>
        <v>444.4</v>
      </c>
      <c r="D64" s="2638" t="s">
        <v>679</v>
      </c>
      <c r="E64" s="784" t="s">
        <v>1747</v>
      </c>
      <c r="F64" s="818">
        <f t="shared" ca="1" si="0"/>
        <v>1.5E-3</v>
      </c>
      <c r="I64" s="3173" t="s">
        <v>2370</v>
      </c>
      <c r="J64" s="3174">
        <v>50</v>
      </c>
      <c r="K64" s="3174">
        <v>35</v>
      </c>
      <c r="L64" s="3174">
        <v>60</v>
      </c>
      <c r="M64" s="846">
        <v>0</v>
      </c>
      <c r="O64" s="2403" t="s">
        <v>2414</v>
      </c>
      <c r="P64" s="1593"/>
      <c r="Q64" s="1605"/>
      <c r="R64" s="1593"/>
    </row>
    <row r="65" spans="1:18" s="2060" customFormat="1" ht="15.75" thickBot="1">
      <c r="A65" s="1650" t="s">
        <v>1891</v>
      </c>
      <c r="B65" s="784" t="s">
        <v>665</v>
      </c>
      <c r="C65" s="53">
        <f ca="1">ROUND(C47*F65,1)</f>
        <v>0</v>
      </c>
      <c r="D65" s="2638" t="s">
        <v>682</v>
      </c>
      <c r="E65" s="784" t="s">
        <v>1747</v>
      </c>
      <c r="F65" s="794">
        <f t="shared" ca="1" si="0"/>
        <v>0.01</v>
      </c>
      <c r="I65" s="3173" t="s">
        <v>2371</v>
      </c>
      <c r="J65" s="3174">
        <v>40</v>
      </c>
      <c r="K65" s="3174">
        <v>30</v>
      </c>
      <c r="L65" s="3174">
        <v>50</v>
      </c>
      <c r="M65" s="3176">
        <v>0.02</v>
      </c>
      <c r="O65" s="2394" t="s">
        <v>2374</v>
      </c>
      <c r="P65" s="2395" t="s">
        <v>2375</v>
      </c>
      <c r="Q65" s="2396" t="s">
        <v>2376</v>
      </c>
      <c r="R65" s="2395" t="s">
        <v>2377</v>
      </c>
    </row>
    <row r="66" spans="1:18" s="2060" customFormat="1" ht="24.75" thickBot="1">
      <c r="A66" s="797" t="s">
        <v>1776</v>
      </c>
      <c r="B66" s="3010" t="s">
        <v>2821</v>
      </c>
      <c r="C66" s="799">
        <f ca="1">C47-C57</f>
        <v>-5028</v>
      </c>
      <c r="D66" s="2637" t="s">
        <v>699</v>
      </c>
      <c r="E66" s="2636"/>
      <c r="F66" s="820"/>
      <c r="K66" s="2087"/>
      <c r="O66" s="2397" t="s">
        <v>2378</v>
      </c>
      <c r="P66" s="2398" t="s">
        <v>2408</v>
      </c>
      <c r="Q66" s="2399">
        <f ca="1">C40+J29</f>
        <v>359658</v>
      </c>
      <c r="R66" s="2398" t="s">
        <v>2379</v>
      </c>
    </row>
    <row r="67" spans="1:18" s="2060" customFormat="1" ht="20.25" thickBot="1">
      <c r="A67" s="781" t="s">
        <v>1780</v>
      </c>
      <c r="B67" s="2233" t="s">
        <v>2302</v>
      </c>
      <c r="C67" s="783">
        <f ca="1">ROUND(C66*(1-((1+F69)/(1+F67))^F68)/(F67-F69),0)</f>
        <v>-69129</v>
      </c>
      <c r="D67" s="814" t="s">
        <v>703</v>
      </c>
      <c r="E67" s="784" t="s">
        <v>704</v>
      </c>
      <c r="F67" s="794">
        <f ca="1">F40</f>
        <v>5.5E-2</v>
      </c>
      <c r="K67" s="2087"/>
      <c r="O67" s="2397" t="s">
        <v>2380</v>
      </c>
      <c r="P67" s="2398" t="s">
        <v>2411</v>
      </c>
      <c r="Q67" s="2399">
        <f ca="1">L60</f>
        <v>0</v>
      </c>
      <c r="R67" s="2402" t="s">
        <v>2413</v>
      </c>
    </row>
    <row r="68" spans="1:18" ht="21.75" thickBot="1">
      <c r="A68" s="786"/>
      <c r="B68" s="787"/>
      <c r="C68" s="788"/>
      <c r="D68" s="821" t="s">
        <v>1808</v>
      </c>
      <c r="E68" s="784" t="s">
        <v>1784</v>
      </c>
      <c r="F68" s="822">
        <f ca="1">F41</f>
        <v>26.36</v>
      </c>
      <c r="O68" s="2400" t="s">
        <v>2382</v>
      </c>
      <c r="P68" s="2398" t="s">
        <v>2412</v>
      </c>
      <c r="Q68" s="2404">
        <f ca="1">L51</f>
        <v>-71200</v>
      </c>
      <c r="R68" s="2405" t="s">
        <v>2415</v>
      </c>
    </row>
    <row r="69" spans="1:18" ht="20.25" thickBot="1">
      <c r="A69" s="790"/>
      <c r="B69" s="791"/>
      <c r="C69" s="792"/>
      <c r="D69" s="816"/>
      <c r="E69" s="784" t="s">
        <v>709</v>
      </c>
      <c r="F69" s="2370"/>
      <c r="O69" s="2400" t="s">
        <v>2383</v>
      </c>
      <c r="P69" s="2406" t="s">
        <v>2397</v>
      </c>
      <c r="Q69" s="2399">
        <f ca="1">ROUND(Q70-Q71*Q72,0)</f>
        <v>-4919</v>
      </c>
      <c r="R69" s="2402"/>
    </row>
    <row r="70" spans="1:18" ht="15.75" thickBot="1">
      <c r="A70" s="823" t="s">
        <v>1787</v>
      </c>
      <c r="B70" s="824" t="s">
        <v>1810</v>
      </c>
      <c r="C70" s="825">
        <f ca="1">ROUND(C67*10000/F70,0)</f>
        <v>-883</v>
      </c>
      <c r="D70" s="826" t="s">
        <v>1811</v>
      </c>
      <c r="E70" s="827" t="s">
        <v>1812</v>
      </c>
      <c r="F70" s="828">
        <f ca="1">F43</f>
        <v>782672.8</v>
      </c>
      <c r="O70" s="2400" t="s">
        <v>2398</v>
      </c>
      <c r="P70" s="2406" t="s">
        <v>2399</v>
      </c>
      <c r="Q70" s="2399">
        <f ca="1">C39</f>
        <v>20261</v>
      </c>
      <c r="R70" s="2398" t="s">
        <v>2379</v>
      </c>
    </row>
    <row r="71" spans="1:18" ht="15.75" thickBot="1">
      <c r="O71" s="2400" t="s">
        <v>2400</v>
      </c>
      <c r="P71" s="2406" t="s">
        <v>2401</v>
      </c>
      <c r="Q71" s="2399">
        <f ca="1">C13</f>
        <v>296241</v>
      </c>
      <c r="R71" s="2398" t="s">
        <v>2379</v>
      </c>
    </row>
    <row r="72" spans="1:18" ht="15.75" thickBot="1">
      <c r="O72" s="2400" t="s">
        <v>2402</v>
      </c>
      <c r="P72" s="2406" t="s">
        <v>2403</v>
      </c>
      <c r="Q72" s="2401">
        <f ca="1">J36</f>
        <v>8.5000000000000006E-2</v>
      </c>
      <c r="R72" s="2402"/>
    </row>
    <row r="73" spans="1:18" ht="15.75" thickBot="1">
      <c r="O73" s="2400" t="s">
        <v>2385</v>
      </c>
      <c r="P73" s="2398" t="s">
        <v>2392</v>
      </c>
      <c r="Q73" s="2401">
        <f>L52</f>
        <v>0</v>
      </c>
      <c r="R73" s="2402"/>
    </row>
    <row r="74" spans="1:18" ht="20.25" thickBot="1">
      <c r="O74" s="2400" t="s">
        <v>2387</v>
      </c>
      <c r="P74" s="2398" t="s">
        <v>2393</v>
      </c>
      <c r="Q74" s="2399" t="e">
        <f ca="1">L58</f>
        <v>#DIV/0!</v>
      </c>
      <c r="R74" s="2402" t="s">
        <v>2394</v>
      </c>
    </row>
    <row r="75" spans="1:18" ht="15.75" thickBot="1">
      <c r="O75" s="2400" t="s">
        <v>2416</v>
      </c>
      <c r="P75" s="2398" t="str">
        <f>K59</f>
        <v>建筑物剩余耐用年限下的土地年期修正系数Kn</v>
      </c>
      <c r="Q75" s="2399" t="e">
        <f ca="1">L59</f>
        <v>#DIV/0!</v>
      </c>
      <c r="R75" s="2402" t="s">
        <v>2396</v>
      </c>
    </row>
    <row r="76" spans="1:18" ht="15.75" thickBot="1">
      <c r="O76" s="2397" t="s">
        <v>2390</v>
      </c>
      <c r="P76" s="2398" t="s">
        <v>2407</v>
      </c>
      <c r="Q76" s="2399">
        <f ca="1">Q66+Q67</f>
        <v>359658</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K13" sqref="K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26533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339</v>
      </c>
      <c r="C3" s="2062"/>
      <c r="D3" s="256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949</v>
      </c>
      <c r="C4" s="2062"/>
      <c r="D4" s="256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63</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520</v>
      </c>
      <c r="B6" s="513"/>
      <c r="C6" s="3373" t="s">
        <v>521</v>
      </c>
      <c r="D6" s="3374"/>
      <c r="E6" s="3373" t="s">
        <v>522</v>
      </c>
      <c r="F6" s="3374"/>
      <c r="G6" s="3373" t="s">
        <v>523</v>
      </c>
      <c r="H6" s="3374"/>
      <c r="I6" s="3373" t="s">
        <v>524</v>
      </c>
      <c r="J6" s="3374"/>
      <c r="K6" s="514" t="s">
        <v>525</v>
      </c>
      <c r="L6" s="2134"/>
      <c r="M6" s="2133"/>
      <c r="N6" s="2133"/>
      <c r="O6" s="2135"/>
      <c r="P6" s="3375" t="s">
        <v>526</v>
      </c>
      <c r="Q6" s="3376"/>
      <c r="R6" s="3381" t="s">
        <v>522</v>
      </c>
      <c r="S6" s="3382"/>
      <c r="T6" s="3381" t="s">
        <v>523</v>
      </c>
      <c r="U6" s="3382"/>
      <c r="V6" s="3368" t="s">
        <v>524</v>
      </c>
      <c r="W6" s="3368"/>
      <c r="X6" s="1568"/>
      <c r="Y6" s="3381" t="s">
        <v>526</v>
      </c>
      <c r="Z6" s="3382"/>
      <c r="AA6" s="3370" t="s">
        <v>522</v>
      </c>
      <c r="AB6" s="3371" t="s">
        <v>523</v>
      </c>
      <c r="AC6" s="3370" t="s">
        <v>524</v>
      </c>
    </row>
    <row r="7" spans="1:30" ht="20.25" customHeight="1">
      <c r="A7" s="515"/>
      <c r="B7" s="516"/>
      <c r="C7" s="3389" t="s">
        <v>2927</v>
      </c>
      <c r="D7" s="3390"/>
      <c r="E7" s="3389" t="str">
        <f>Sheet1!A12</f>
        <v>晏子路东、朝阳大街北</v>
      </c>
      <c r="F7" s="3390"/>
      <c r="G7" s="3389" t="str">
        <f>Sheet1!A11</f>
        <v>晏子路东、朝阳大街北</v>
      </c>
      <c r="H7" s="3390"/>
      <c r="I7" s="3389" t="s">
        <v>3052</v>
      </c>
      <c r="J7" s="3390"/>
      <c r="K7" s="514"/>
      <c r="L7" s="2134"/>
      <c r="M7" s="2133"/>
      <c r="N7" s="2133"/>
      <c r="O7" s="2135"/>
      <c r="P7" s="3377"/>
      <c r="Q7" s="3378"/>
      <c r="R7" s="3383"/>
      <c r="S7" s="3384"/>
      <c r="T7" s="3383"/>
      <c r="U7" s="3384"/>
      <c r="V7" s="3368"/>
      <c r="W7" s="3368"/>
      <c r="X7" s="1568"/>
      <c r="Y7" s="3383"/>
      <c r="Z7" s="3384"/>
      <c r="AA7" s="3371"/>
      <c r="AB7" s="3371"/>
      <c r="AC7" s="3371"/>
    </row>
    <row r="8" spans="1:30" ht="21" thickBot="1">
      <c r="A8" s="515"/>
      <c r="B8" s="516"/>
      <c r="C8" s="3391" t="s">
        <v>2931</v>
      </c>
      <c r="D8" s="3392"/>
      <c r="E8" s="3391" t="s">
        <v>2931</v>
      </c>
      <c r="F8" s="3392"/>
      <c r="G8" s="3387" t="s">
        <v>2931</v>
      </c>
      <c r="H8" s="3388"/>
      <c r="I8" s="3387" t="s">
        <v>2931</v>
      </c>
      <c r="J8" s="3388"/>
      <c r="K8" s="514" t="s">
        <v>527</v>
      </c>
      <c r="L8" s="2134"/>
      <c r="M8" s="2133"/>
      <c r="N8" s="2133"/>
      <c r="O8" s="2135"/>
      <c r="P8" s="3379"/>
      <c r="Q8" s="3380"/>
      <c r="R8" s="3383"/>
      <c r="S8" s="3384"/>
      <c r="T8" s="3385"/>
      <c r="U8" s="3386"/>
      <c r="V8" s="3368"/>
      <c r="W8" s="3368"/>
      <c r="X8" s="1568"/>
      <c r="Y8" s="3385"/>
      <c r="Z8" s="3386"/>
      <c r="AA8" s="3372"/>
      <c r="AB8" s="3372"/>
      <c r="AC8" s="3372"/>
    </row>
    <row r="9" spans="1:30" s="1220" customFormat="1" ht="21" thickBot="1">
      <c r="A9" s="2911"/>
      <c r="B9" s="2918" t="s">
        <v>528</v>
      </c>
      <c r="C9" s="2910">
        <f>'数据-取费表'!B2</f>
        <v>43426</v>
      </c>
      <c r="D9" s="520">
        <v>100</v>
      </c>
      <c r="E9" s="521" t="str">
        <f>[1]Sheet1!H12</f>
        <v>2016-11-13</v>
      </c>
      <c r="F9" s="522">
        <f>SUMIF(72:72,YEAR(E9)&amp;"-"&amp;INT((MONTH(E9)+2)/3),73:73)</f>
        <v>96</v>
      </c>
      <c r="G9" s="523" t="str">
        <f>Sheet1!H11</f>
        <v>2016-11-13</v>
      </c>
      <c r="H9" s="520">
        <f>SUMIF(72:72,YEAR(G9)&amp;"-"&amp;INT((MONTH(G9)+2)/3),73:73)</f>
        <v>96</v>
      </c>
      <c r="I9" s="523" t="s">
        <v>3054</v>
      </c>
      <c r="J9" s="520">
        <f>SUMIF(72:72,YEAR(I9)&amp;"-"&amp;INT((MONTH(I9)+2)/3),73:73)</f>
        <v>94.5</v>
      </c>
      <c r="K9" s="524"/>
      <c r="L9" s="2136"/>
      <c r="M9" s="2133"/>
      <c r="N9" s="2133"/>
      <c r="O9" s="2137"/>
      <c r="P9" s="3398" t="s">
        <v>529</v>
      </c>
      <c r="Q9" s="3400"/>
      <c r="R9" s="1569" t="s">
        <v>8</v>
      </c>
      <c r="S9" s="1570">
        <f t="shared" ref="S9:S17" si="0">F9</f>
        <v>96</v>
      </c>
      <c r="T9" s="1569" t="s">
        <v>8</v>
      </c>
      <c r="U9" s="1570">
        <f t="shared" ref="U9:U17" si="1">H9</f>
        <v>96</v>
      </c>
      <c r="V9" s="1569" t="s">
        <v>8</v>
      </c>
      <c r="W9" s="1570">
        <f t="shared" ref="W9:W17" si="2">J9</f>
        <v>94.5</v>
      </c>
      <c r="X9" s="1571"/>
      <c r="Y9" s="3398" t="s">
        <v>529</v>
      </c>
      <c r="Z9" s="3399"/>
      <c r="AA9" s="1572">
        <f>D9/F9</f>
        <v>1.0416666666666667</v>
      </c>
      <c r="AB9" s="1572">
        <f>D9/H9</f>
        <v>1.0416666666666667</v>
      </c>
      <c r="AC9" s="1572">
        <f>D9/J9</f>
        <v>1.0582010582010581</v>
      </c>
    </row>
    <row r="10" spans="1:30" s="1220" customFormat="1" ht="21" thickBot="1">
      <c r="A10" s="2912"/>
      <c r="B10" s="2919"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6"/>
      <c r="M10" s="2133"/>
      <c r="N10" s="2133"/>
      <c r="O10" s="2137"/>
      <c r="P10" s="3398" t="s">
        <v>532</v>
      </c>
      <c r="Q10" s="3399"/>
      <c r="R10" s="1569" t="s">
        <v>8</v>
      </c>
      <c r="S10" s="1570">
        <f t="shared" si="0"/>
        <v>100</v>
      </c>
      <c r="T10" s="1569" t="s">
        <v>8</v>
      </c>
      <c r="U10" s="1570">
        <f t="shared" si="1"/>
        <v>100</v>
      </c>
      <c r="V10" s="1569" t="s">
        <v>8</v>
      </c>
      <c r="W10" s="1570">
        <f t="shared" si="2"/>
        <v>100</v>
      </c>
      <c r="X10" s="1571"/>
      <c r="Y10" s="3398" t="s">
        <v>532</v>
      </c>
      <c r="Z10" s="3399"/>
      <c r="AA10" s="1572">
        <f t="shared" ref="AA10:AA47" si="3">D10/F10</f>
        <v>1</v>
      </c>
      <c r="AB10" s="1572">
        <f t="shared" ref="AB10:AB47" si="4">D10/H10</f>
        <v>1</v>
      </c>
      <c r="AC10" s="1572">
        <f t="shared" ref="AC10:AC47" si="5">D10/J10</f>
        <v>1</v>
      </c>
    </row>
    <row r="11" spans="1:30" s="1220" customFormat="1" ht="20.25">
      <c r="A11" s="2913"/>
      <c r="B11" s="2920" t="s">
        <v>2755</v>
      </c>
      <c r="C11" s="2907"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6"/>
      <c r="M11" s="2133"/>
      <c r="N11" s="2133"/>
      <c r="O11" s="2138"/>
      <c r="P11" s="3367" t="s">
        <v>534</v>
      </c>
      <c r="Q11" s="1151" t="str">
        <f t="shared" ref="Q11:Q17" si="6">B11</f>
        <v>用途</v>
      </c>
      <c r="R11" s="1569" t="s">
        <v>8</v>
      </c>
      <c r="S11" s="1570">
        <f t="shared" si="0"/>
        <v>100</v>
      </c>
      <c r="T11" s="1569" t="s">
        <v>8</v>
      </c>
      <c r="U11" s="1570">
        <f t="shared" si="1"/>
        <v>100</v>
      </c>
      <c r="V11" s="1569" t="s">
        <v>8</v>
      </c>
      <c r="W11" s="1570">
        <f t="shared" si="2"/>
        <v>100</v>
      </c>
      <c r="X11" s="1571"/>
      <c r="Y11" s="3307" t="s">
        <v>535</v>
      </c>
      <c r="Z11" s="1150" t="str">
        <f t="shared" ref="Z11:Z17" si="7">Q11</f>
        <v>用途</v>
      </c>
      <c r="AA11" s="1572">
        <f t="shared" si="3"/>
        <v>1</v>
      </c>
      <c r="AB11" s="1572">
        <f t="shared" si="4"/>
        <v>1</v>
      </c>
      <c r="AC11" s="1572">
        <f t="shared" si="5"/>
        <v>1</v>
      </c>
    </row>
    <row r="12" spans="1:30" s="1338" customFormat="1" ht="27">
      <c r="A12" s="2914"/>
      <c r="B12" s="2919" t="s">
        <v>2756</v>
      </c>
      <c r="C12" s="910">
        <f>项目基本情况!E19</f>
        <v>26.36</v>
      </c>
      <c r="D12" s="255">
        <v>100</v>
      </c>
      <c r="E12" s="529" t="s">
        <v>3128</v>
      </c>
      <c r="F12" s="255">
        <f>ROUND(100/'数据-取费表'!G16,0)</f>
        <v>119</v>
      </c>
      <c r="G12" s="530" t="s">
        <v>3128</v>
      </c>
      <c r="H12" s="255">
        <f>ROUND(100/'数据-取费表'!G16,0)</f>
        <v>119</v>
      </c>
      <c r="I12" s="530" t="s">
        <v>3128</v>
      </c>
      <c r="J12" s="255">
        <f>ROUND(100/'数据-取费表'!G16,0)</f>
        <v>119</v>
      </c>
      <c r="K12" s="531"/>
      <c r="L12" s="2139"/>
      <c r="M12" s="2133"/>
      <c r="N12" s="2133"/>
      <c r="O12" s="2140"/>
      <c r="P12" s="3367"/>
      <c r="Q12" s="1151" t="str">
        <f t="shared" si="6"/>
        <v>土地使用年限（年）</v>
      </c>
      <c r="R12" s="1569" t="s">
        <v>8</v>
      </c>
      <c r="S12" s="1570">
        <f t="shared" si="0"/>
        <v>119</v>
      </c>
      <c r="T12" s="1569" t="s">
        <v>8</v>
      </c>
      <c r="U12" s="1570">
        <f t="shared" si="1"/>
        <v>119</v>
      </c>
      <c r="V12" s="1569" t="s">
        <v>8</v>
      </c>
      <c r="W12" s="1570">
        <f t="shared" si="2"/>
        <v>119</v>
      </c>
      <c r="X12" s="1571"/>
      <c r="Y12" s="3307"/>
      <c r="Z12" s="1150" t="str">
        <f t="shared" si="7"/>
        <v>土地使用年限（年）</v>
      </c>
      <c r="AA12" s="1572">
        <f t="shared" si="3"/>
        <v>0.84033613445378152</v>
      </c>
      <c r="AB12" s="1572">
        <f t="shared" si="4"/>
        <v>0.84033613445378152</v>
      </c>
      <c r="AC12" s="1572">
        <f t="shared" si="5"/>
        <v>0.84033613445378152</v>
      </c>
    </row>
    <row r="13" spans="1:30" ht="20.25">
      <c r="A13" s="2915"/>
      <c r="B13" s="2919" t="s">
        <v>2757</v>
      </c>
      <c r="C13" s="534">
        <f>'数据-汇总表'!I4</f>
        <v>2.8</v>
      </c>
      <c r="D13" s="255">
        <v>100</v>
      </c>
      <c r="E13" s="533">
        <v>1.75</v>
      </c>
      <c r="F13" s="255">
        <f>LOOKUP(E13,82:82,83:83)-LOOKUP(C13,82:82,83:83)+100</f>
        <v>110</v>
      </c>
      <c r="G13" s="534">
        <f>E13</f>
        <v>1.75</v>
      </c>
      <c r="H13" s="255">
        <f>LOOKUP(G13,82:82,83:83)-LOOKUP(C13,82:82,83:83)+100</f>
        <v>110</v>
      </c>
      <c r="I13" s="533">
        <v>4.8</v>
      </c>
      <c r="J13" s="255">
        <f>LOOKUP(I13,82:82,83:83)-LOOKUP(C13,82:82,83:83)+100</f>
        <v>90</v>
      </c>
      <c r="K13" s="535">
        <v>10</v>
      </c>
      <c r="L13" s="2141"/>
      <c r="M13" s="2133"/>
      <c r="N13" s="2133"/>
      <c r="O13" s="2142"/>
      <c r="P13" s="3367"/>
      <c r="Q13" s="1151" t="str">
        <f t="shared" si="6"/>
        <v>容积率</v>
      </c>
      <c r="R13" s="1569" t="s">
        <v>8</v>
      </c>
      <c r="S13" s="1570">
        <f t="shared" si="0"/>
        <v>110</v>
      </c>
      <c r="T13" s="1569" t="s">
        <v>8</v>
      </c>
      <c r="U13" s="1570">
        <f t="shared" si="1"/>
        <v>110</v>
      </c>
      <c r="V13" s="1569" t="s">
        <v>8</v>
      </c>
      <c r="W13" s="1570">
        <f t="shared" si="2"/>
        <v>90</v>
      </c>
      <c r="X13" s="1571"/>
      <c r="Y13" s="3307"/>
      <c r="Z13" s="1150" t="str">
        <f t="shared" si="7"/>
        <v>容积率</v>
      </c>
      <c r="AA13" s="1572">
        <f t="shared" si="3"/>
        <v>0.90909090909090906</v>
      </c>
      <c r="AB13" s="1572">
        <f t="shared" si="4"/>
        <v>0.90909090909090906</v>
      </c>
      <c r="AC13" s="1572">
        <f t="shared" si="5"/>
        <v>1.1111111111111112</v>
      </c>
    </row>
    <row r="14" spans="1:30" s="1220" customFormat="1" ht="20.25">
      <c r="A14" s="2912"/>
      <c r="B14" s="2921" t="s">
        <v>2758</v>
      </c>
      <c r="C14" s="290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7"/>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7"/>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7"/>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99.75">
      <c r="A17" s="2909"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3"/>
      <c r="M17" s="2133"/>
      <c r="N17" s="2133"/>
      <c r="O17" s="2142"/>
      <c r="P17" s="3401" t="s">
        <v>539</v>
      </c>
      <c r="Q17" s="1573" t="str">
        <f t="shared" si="6"/>
        <v>居住社区成熟度</v>
      </c>
      <c r="R17" s="1574" t="s">
        <v>8</v>
      </c>
      <c r="S17" s="1575">
        <f t="shared" si="0"/>
        <v>100</v>
      </c>
      <c r="T17" s="1574" t="s">
        <v>8</v>
      </c>
      <c r="U17" s="1575">
        <f t="shared" si="1"/>
        <v>100</v>
      </c>
      <c r="V17" s="1574" t="s">
        <v>8</v>
      </c>
      <c r="W17" s="1575">
        <f t="shared" si="2"/>
        <v>100</v>
      </c>
      <c r="X17" s="1568"/>
      <c r="Y17" s="3401" t="s">
        <v>539</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6"/>
      <c r="J18" s="555"/>
      <c r="K18" s="531"/>
      <c r="L18" s="2143"/>
      <c r="M18" s="2133"/>
      <c r="N18" s="2133"/>
      <c r="O18" s="2142"/>
      <c r="P18" s="3402"/>
      <c r="Q18" s="1573"/>
      <c r="R18" s="1574"/>
      <c r="S18" s="1575"/>
      <c r="T18" s="1574"/>
      <c r="U18" s="1575"/>
      <c r="V18" s="1574"/>
      <c r="W18" s="1575"/>
      <c r="X18" s="1568"/>
      <c r="Y18" s="3402"/>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3"/>
      <c r="M19" s="2133"/>
      <c r="N19" s="2133"/>
      <c r="O19" s="2142"/>
      <c r="P19" s="3402"/>
      <c r="Q19" s="1573" t="str">
        <f>B19</f>
        <v>商业繁华度</v>
      </c>
      <c r="R19" s="1574" t="s">
        <v>8</v>
      </c>
      <c r="S19" s="1575">
        <f>F19</f>
        <v>103</v>
      </c>
      <c r="T19" s="1574" t="s">
        <v>8</v>
      </c>
      <c r="U19" s="1575">
        <f>H19</f>
        <v>103</v>
      </c>
      <c r="V19" s="1574" t="s">
        <v>8</v>
      </c>
      <c r="W19" s="1575">
        <f>J19</f>
        <v>103</v>
      </c>
      <c r="X19" s="1568"/>
      <c r="Y19" s="3402"/>
      <c r="Z19" s="1576" t="str">
        <f>Q19</f>
        <v>商业繁华度</v>
      </c>
      <c r="AA19" s="1577">
        <f t="shared" si="3"/>
        <v>0.970873786407767</v>
      </c>
      <c r="AB19" s="1577">
        <f t="shared" si="4"/>
        <v>0.970873786407767</v>
      </c>
      <c r="AC19" s="1577">
        <f t="shared" si="5"/>
        <v>0.970873786407767</v>
      </c>
    </row>
    <row r="20" spans="1:29" ht="20.25">
      <c r="A20" s="532"/>
      <c r="B20" s="566"/>
      <c r="C20" s="567" t="s">
        <v>3118</v>
      </c>
      <c r="D20" s="563"/>
      <c r="E20" s="569" t="s">
        <v>3119</v>
      </c>
      <c r="F20" s="559"/>
      <c r="G20" s="569" t="s">
        <v>3119</v>
      </c>
      <c r="H20" s="555"/>
      <c r="I20" s="569" t="s">
        <v>3119</v>
      </c>
      <c r="J20" s="555"/>
      <c r="K20" s="531"/>
      <c r="L20" s="2143"/>
      <c r="M20" s="2133"/>
      <c r="N20" s="2133"/>
      <c r="O20" s="2142"/>
      <c r="P20" s="3402"/>
      <c r="Q20" s="1573"/>
      <c r="R20" s="1574"/>
      <c r="S20" s="1575"/>
      <c r="T20" s="1574"/>
      <c r="U20" s="1575"/>
      <c r="V20" s="1574"/>
      <c r="W20" s="1575"/>
      <c r="X20" s="1568"/>
      <c r="Y20" s="3402"/>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3"/>
      <c r="M21" s="2133"/>
      <c r="N21" s="2133"/>
      <c r="O21" s="2142"/>
      <c r="P21" s="3402"/>
      <c r="Q21" s="1573" t="str">
        <f>B21</f>
        <v>办公集聚程度</v>
      </c>
      <c r="R21" s="1574" t="s">
        <v>8</v>
      </c>
      <c r="S21" s="1575">
        <f>F21</f>
        <v>100</v>
      </c>
      <c r="T21" s="1574" t="s">
        <v>8</v>
      </c>
      <c r="U21" s="1575">
        <f>H21</f>
        <v>100</v>
      </c>
      <c r="V21" s="1574" t="s">
        <v>8</v>
      </c>
      <c r="W21" s="1575">
        <f>J21</f>
        <v>100</v>
      </c>
      <c r="X21" s="1568"/>
      <c r="Y21" s="3402"/>
      <c r="Z21" s="1576" t="str">
        <f>Q21</f>
        <v>办公集聚程度</v>
      </c>
      <c r="AA21" s="1577">
        <f t="shared" si="3"/>
        <v>1</v>
      </c>
      <c r="AB21" s="1577">
        <f t="shared" si="4"/>
        <v>1</v>
      </c>
      <c r="AC21" s="1577">
        <f t="shared" si="5"/>
        <v>1</v>
      </c>
    </row>
    <row r="22" spans="1:29" ht="20.25">
      <c r="A22" s="532"/>
      <c r="B22" s="566"/>
      <c r="C22" s="554"/>
      <c r="D22" s="557"/>
      <c r="E22" s="558"/>
      <c r="F22" s="555"/>
      <c r="G22" s="558"/>
      <c r="H22" s="555"/>
      <c r="I22" s="558"/>
      <c r="J22" s="555"/>
      <c r="K22" s="531"/>
      <c r="L22" s="2143"/>
      <c r="M22" s="2133"/>
      <c r="N22" s="2133"/>
      <c r="O22" s="2142"/>
      <c r="P22" s="3402"/>
      <c r="Q22" s="1573"/>
      <c r="R22" s="1574"/>
      <c r="S22" s="1575"/>
      <c r="T22" s="1574"/>
      <c r="U22" s="1575"/>
      <c r="V22" s="1574"/>
      <c r="W22" s="1575"/>
      <c r="X22" s="1568"/>
      <c r="Y22" s="3402"/>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t="s">
        <v>3129</v>
      </c>
      <c r="F23" s="565">
        <f>SUMIF(96:96,E24,97:97)-SUMIF(96:96,C24,97:97)+100</f>
        <v>103</v>
      </c>
      <c r="G23" s="564" t="s">
        <v>3129</v>
      </c>
      <c r="H23" s="559">
        <f>SUMIF(96:96,G24,97:97)-SUMIF(96:96,C24,97:97)+100</f>
        <v>103</v>
      </c>
      <c r="I23" s="564" t="s">
        <v>3131</v>
      </c>
      <c r="J23" s="559">
        <f>SUMIF(96:96,I24,97:97)-SUMIF(96:96,C24,97:97)+100</f>
        <v>103</v>
      </c>
      <c r="K23" s="535">
        <v>3</v>
      </c>
      <c r="L23" s="2143"/>
      <c r="M23" s="2133"/>
      <c r="N23" s="2133"/>
      <c r="O23" s="2142"/>
      <c r="P23" s="3402"/>
      <c r="Q23" s="1573" t="str">
        <f>B23</f>
        <v>交通便捷度</v>
      </c>
      <c r="R23" s="1574" t="s">
        <v>8</v>
      </c>
      <c r="S23" s="1575">
        <f>F23</f>
        <v>103</v>
      </c>
      <c r="T23" s="1574" t="s">
        <v>8</v>
      </c>
      <c r="U23" s="1575">
        <f>H23</f>
        <v>103</v>
      </c>
      <c r="V23" s="1574" t="s">
        <v>8</v>
      </c>
      <c r="W23" s="1575">
        <f>J23</f>
        <v>103</v>
      </c>
      <c r="X23" s="1568"/>
      <c r="Y23" s="3402"/>
      <c r="Z23" s="1576" t="str">
        <f>Q23</f>
        <v>交通便捷度</v>
      </c>
      <c r="AA23" s="1577">
        <f t="shared" si="3"/>
        <v>0.970873786407767</v>
      </c>
      <c r="AB23" s="1577">
        <f t="shared" si="4"/>
        <v>0.970873786407767</v>
      </c>
      <c r="AC23" s="1577">
        <f t="shared" si="5"/>
        <v>0.970873786407767</v>
      </c>
    </row>
    <row r="24" spans="1:29" ht="20.25">
      <c r="A24" s="532"/>
      <c r="B24" s="578"/>
      <c r="C24" s="554" t="s">
        <v>3118</v>
      </c>
      <c r="D24" s="557"/>
      <c r="E24" s="558" t="s">
        <v>3119</v>
      </c>
      <c r="F24" s="555"/>
      <c r="G24" s="558" t="s">
        <v>3119</v>
      </c>
      <c r="H24" s="555"/>
      <c r="I24" s="558" t="s">
        <v>3119</v>
      </c>
      <c r="J24" s="555"/>
      <c r="K24" s="531"/>
      <c r="L24" s="2143"/>
      <c r="M24" s="2133"/>
      <c r="N24" s="2133"/>
      <c r="O24" s="2142"/>
      <c r="P24" s="3402"/>
      <c r="Q24" s="1573"/>
      <c r="R24" s="1574"/>
      <c r="S24" s="1575"/>
      <c r="T24" s="1574"/>
      <c r="U24" s="1575"/>
      <c r="V24" s="1574"/>
      <c r="W24" s="1575"/>
      <c r="X24" s="1568"/>
      <c r="Y24" s="3402"/>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3"/>
      <c r="M25" s="2133"/>
      <c r="N25" s="2133"/>
      <c r="O25" s="2142"/>
      <c r="P25" s="3402"/>
      <c r="Q25" s="1573" t="str">
        <f t="shared" ref="Q25:Q39" si="8">B25</f>
        <v>区域土地利用方向</v>
      </c>
      <c r="R25" s="1574" t="s">
        <v>8</v>
      </c>
      <c r="S25" s="1575">
        <f>F25</f>
        <v>100</v>
      </c>
      <c r="T25" s="1574" t="s">
        <v>8</v>
      </c>
      <c r="U25" s="1575">
        <f>H25</f>
        <v>100</v>
      </c>
      <c r="V25" s="1574" t="s">
        <v>8</v>
      </c>
      <c r="W25" s="1575">
        <f>J25</f>
        <v>100</v>
      </c>
      <c r="X25" s="1568"/>
      <c r="Y25" s="3402"/>
      <c r="Z25" s="1576" t="str">
        <f>Q25</f>
        <v>区域土地利用方向</v>
      </c>
      <c r="AA25" s="1577">
        <f t="shared" si="3"/>
        <v>1</v>
      </c>
      <c r="AB25" s="1577">
        <f t="shared" si="4"/>
        <v>1</v>
      </c>
      <c r="AC25" s="1577">
        <f t="shared" si="5"/>
        <v>1</v>
      </c>
    </row>
    <row r="26" spans="1:29" ht="20.25">
      <c r="A26" s="515"/>
      <c r="B26" s="1007"/>
      <c r="C26" s="554" t="s">
        <v>3119</v>
      </c>
      <c r="D26" s="557"/>
      <c r="E26" s="558" t="s">
        <v>3119</v>
      </c>
      <c r="F26" s="555"/>
      <c r="G26" s="558" t="s">
        <v>3119</v>
      </c>
      <c r="H26" s="555"/>
      <c r="I26" s="558" t="s">
        <v>3119</v>
      </c>
      <c r="J26" s="555"/>
      <c r="K26" s="531"/>
      <c r="L26" s="2143"/>
      <c r="M26" s="2133"/>
      <c r="N26" s="2133"/>
      <c r="O26" s="2142"/>
      <c r="P26" s="3402"/>
      <c r="Q26" s="1573"/>
      <c r="R26" s="1574"/>
      <c r="S26" s="1575"/>
      <c r="T26" s="1574"/>
      <c r="U26" s="1575"/>
      <c r="V26" s="1574"/>
      <c r="W26" s="1575"/>
      <c r="X26" s="1568"/>
      <c r="Y26" s="3402"/>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3"/>
      <c r="M27" s="2133"/>
      <c r="N27" s="2133"/>
      <c r="O27" s="2142"/>
      <c r="P27" s="3402"/>
      <c r="Q27" s="1573" t="str">
        <f t="shared" si="8"/>
        <v>自然及人文环境状况</v>
      </c>
      <c r="R27" s="1574" t="s">
        <v>8</v>
      </c>
      <c r="S27" s="1575">
        <f>F27</f>
        <v>100</v>
      </c>
      <c r="T27" s="1574" t="s">
        <v>8</v>
      </c>
      <c r="U27" s="1575">
        <f>H27</f>
        <v>100</v>
      </c>
      <c r="V27" s="1574" t="s">
        <v>8</v>
      </c>
      <c r="W27" s="1575">
        <f>J27</f>
        <v>100</v>
      </c>
      <c r="X27" s="1568"/>
      <c r="Y27" s="3402"/>
      <c r="Z27" s="1576" t="str">
        <f>Q27</f>
        <v>自然及人文环境状况</v>
      </c>
      <c r="AA27" s="1577">
        <f t="shared" si="3"/>
        <v>1</v>
      </c>
      <c r="AB27" s="1577">
        <f t="shared" si="4"/>
        <v>1</v>
      </c>
      <c r="AC27" s="1577">
        <f t="shared" si="5"/>
        <v>1</v>
      </c>
    </row>
    <row r="28" spans="1:29" ht="20.25">
      <c r="A28" s="515"/>
      <c r="B28" s="566"/>
      <c r="C28" s="554" t="s">
        <v>3119</v>
      </c>
      <c r="D28" s="557"/>
      <c r="E28" s="576" t="s">
        <v>3119</v>
      </c>
      <c r="F28" s="555"/>
      <c r="G28" s="576" t="s">
        <v>3119</v>
      </c>
      <c r="H28" s="555"/>
      <c r="I28" s="576" t="s">
        <v>3119</v>
      </c>
      <c r="J28" s="555"/>
      <c r="K28" s="531"/>
      <c r="L28" s="2143"/>
      <c r="M28" s="2133"/>
      <c r="N28" s="2133"/>
      <c r="O28" s="2142"/>
      <c r="P28" s="3402"/>
      <c r="Q28" s="1573"/>
      <c r="R28" s="1574"/>
      <c r="S28" s="1575"/>
      <c r="T28" s="1574"/>
      <c r="U28" s="1575"/>
      <c r="V28" s="1574"/>
      <c r="W28" s="1575"/>
      <c r="X28" s="1568"/>
      <c r="Y28" s="3402"/>
      <c r="Z28" s="1576"/>
      <c r="AA28" s="1577">
        <v>1</v>
      </c>
      <c r="AB28" s="1577">
        <v>1</v>
      </c>
      <c r="AC28" s="1577">
        <v>1</v>
      </c>
    </row>
    <row r="29" spans="1:29" s="1220" customFormat="1" ht="42.75">
      <c r="A29" s="577"/>
      <c r="B29" s="2590" t="s">
        <v>2547</v>
      </c>
      <c r="C29" s="573" t="str">
        <f>估价对象房地状况!C21</f>
        <v>估价对象所在区域公共配套设施齐备情况</v>
      </c>
      <c r="D29" s="563">
        <v>100</v>
      </c>
      <c r="E29" s="564"/>
      <c r="F29" s="559">
        <f>SUMIF(102:102,E30,103:103)-SUMIF(102:102,C30,103:103)+100</f>
        <v>103</v>
      </c>
      <c r="G29" s="564"/>
      <c r="H29" s="559">
        <f>SUMIF(102:102,G30,103:103)-SUMIF(102:102,C30,103:103)+100</f>
        <v>103</v>
      </c>
      <c r="I29" s="564"/>
      <c r="J29" s="559">
        <f>SUMIF(102:102,I30,103:103)-SUMIF(102:102,C30,103:103)+100</f>
        <v>103</v>
      </c>
      <c r="K29" s="535">
        <v>3</v>
      </c>
      <c r="L29" s="2136"/>
      <c r="M29" s="2133"/>
      <c r="N29" s="2133"/>
      <c r="O29" s="2138"/>
      <c r="P29" s="3402"/>
      <c r="Q29" s="1151" t="str">
        <f t="shared" si="8"/>
        <v>公共配套设施</v>
      </c>
      <c r="R29" s="1569" t="s">
        <v>8</v>
      </c>
      <c r="S29" s="1570">
        <f>F29</f>
        <v>103</v>
      </c>
      <c r="T29" s="1569" t="s">
        <v>8</v>
      </c>
      <c r="U29" s="1570">
        <f>H29</f>
        <v>103</v>
      </c>
      <c r="V29" s="1569" t="s">
        <v>8</v>
      </c>
      <c r="W29" s="1570">
        <f>J29</f>
        <v>103</v>
      </c>
      <c r="X29" s="1571"/>
      <c r="Y29" s="3402"/>
      <c r="Z29" s="1150" t="str">
        <f>Q29</f>
        <v>公共配套设施</v>
      </c>
      <c r="AA29" s="1577">
        <f>D29/F29</f>
        <v>0.970873786407767</v>
      </c>
      <c r="AB29" s="1577">
        <f>D29/H29</f>
        <v>0.970873786407767</v>
      </c>
      <c r="AC29" s="1577">
        <f>D29/J29</f>
        <v>0.970873786407767</v>
      </c>
    </row>
    <row r="30" spans="1:29" s="1220" customFormat="1" ht="20.25">
      <c r="A30" s="577"/>
      <c r="B30" s="566"/>
      <c r="C30" s="579" t="s">
        <v>3118</v>
      </c>
      <c r="D30" s="557"/>
      <c r="E30" s="576" t="s">
        <v>3119</v>
      </c>
      <c r="F30" s="555"/>
      <c r="G30" s="576" t="s">
        <v>3119</v>
      </c>
      <c r="H30" s="555"/>
      <c r="I30" s="576" t="s">
        <v>3119</v>
      </c>
      <c r="J30" s="555"/>
      <c r="K30" s="531"/>
      <c r="L30" s="2136"/>
      <c r="M30" s="2133"/>
      <c r="N30" s="2133"/>
      <c r="O30" s="2138"/>
      <c r="P30" s="3402"/>
      <c r="Q30" s="1151"/>
      <c r="R30" s="1569"/>
      <c r="S30" s="1570"/>
      <c r="T30" s="1569"/>
      <c r="U30" s="1570"/>
      <c r="V30" s="1569"/>
      <c r="W30" s="1570"/>
      <c r="X30" s="1571"/>
      <c r="Y30" s="3402"/>
      <c r="Z30" s="1150"/>
      <c r="AA30" s="1577">
        <v>1</v>
      </c>
      <c r="AB30" s="1577">
        <v>1</v>
      </c>
      <c r="AC30" s="1577">
        <v>1</v>
      </c>
    </row>
    <row r="31" spans="1:29" s="1220" customFormat="1" ht="28.5">
      <c r="A31" s="577"/>
      <c r="B31" s="2590"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402"/>
      <c r="Q31" s="2577" t="str">
        <f t="shared" ref="Q31" si="9">B31</f>
        <v>基础设施水平</v>
      </c>
      <c r="R31" s="1569" t="s">
        <v>8</v>
      </c>
      <c r="S31" s="1570">
        <f>F31</f>
        <v>100</v>
      </c>
      <c r="T31" s="1569" t="s">
        <v>8</v>
      </c>
      <c r="U31" s="1570">
        <f>H31</f>
        <v>100</v>
      </c>
      <c r="V31" s="1569" t="s">
        <v>8</v>
      </c>
      <c r="W31" s="1570">
        <f>J31</f>
        <v>100</v>
      </c>
      <c r="X31" s="1571"/>
      <c r="Y31" s="3402"/>
      <c r="Z31" s="2574" t="str">
        <f>Q31</f>
        <v>基础设施水平</v>
      </c>
      <c r="AA31" s="1577">
        <f>D31/F31</f>
        <v>1</v>
      </c>
      <c r="AB31" s="1577">
        <f>D31/H31</f>
        <v>1</v>
      </c>
      <c r="AC31" s="1577">
        <f>D31/J31</f>
        <v>1</v>
      </c>
    </row>
    <row r="32" spans="1:29" s="1220" customFormat="1" ht="20.25">
      <c r="A32" s="577"/>
      <c r="B32" s="566"/>
      <c r="C32" s="579" t="s">
        <v>3120</v>
      </c>
      <c r="D32" s="557"/>
      <c r="E32" s="2591" t="s">
        <v>3120</v>
      </c>
      <c r="F32" s="555"/>
      <c r="G32" s="2591" t="s">
        <v>3120</v>
      </c>
      <c r="H32" s="555"/>
      <c r="I32" s="2591" t="s">
        <v>3120</v>
      </c>
      <c r="J32" s="555"/>
      <c r="K32" s="531"/>
      <c r="L32" s="2136"/>
      <c r="M32" s="2133"/>
      <c r="N32" s="2133"/>
      <c r="O32" s="2138"/>
      <c r="P32" s="3402"/>
      <c r="Q32" s="2577"/>
      <c r="R32" s="1569"/>
      <c r="S32" s="1570"/>
      <c r="T32" s="1569"/>
      <c r="U32" s="1570"/>
      <c r="V32" s="1569"/>
      <c r="W32" s="1570"/>
      <c r="X32" s="1571"/>
      <c r="Y32" s="3402"/>
      <c r="Z32" s="2574"/>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3"/>
      <c r="M33" s="2133"/>
      <c r="N33" s="2133"/>
      <c r="O33" s="2142"/>
      <c r="P33" s="340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2"/>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3"/>
      <c r="M34" s="2133"/>
      <c r="N34" s="2133"/>
      <c r="O34" s="2142"/>
      <c r="P34" s="3402"/>
      <c r="Q34" s="1573" t="str">
        <f t="shared" si="8"/>
        <v>毗邻道路的类型与等级</v>
      </c>
      <c r="R34" s="1574" t="s">
        <v>8</v>
      </c>
      <c r="S34" s="1575">
        <f t="shared" si="10"/>
        <v>100</v>
      </c>
      <c r="T34" s="1574" t="s">
        <v>8</v>
      </c>
      <c r="U34" s="1575">
        <f t="shared" si="11"/>
        <v>100</v>
      </c>
      <c r="V34" s="1574" t="s">
        <v>8</v>
      </c>
      <c r="W34" s="1575">
        <f t="shared" si="12"/>
        <v>100</v>
      </c>
      <c r="X34" s="1568"/>
      <c r="Y34" s="3402"/>
      <c r="Z34" s="1576" t="str">
        <f t="shared" si="13"/>
        <v>毗邻道路的类型与等级</v>
      </c>
      <c r="AA34" s="1577">
        <f t="shared" si="3"/>
        <v>1</v>
      </c>
      <c r="AB34" s="1577">
        <f t="shared" si="4"/>
        <v>1</v>
      </c>
      <c r="AC34" s="1577">
        <f t="shared" si="5"/>
        <v>1</v>
      </c>
    </row>
    <row r="35" spans="1:29" ht="20.25">
      <c r="A35" s="532"/>
      <c r="B35" s="566"/>
      <c r="C35" s="554" t="s">
        <v>3121</v>
      </c>
      <c r="D35" s="557"/>
      <c r="E35" s="576" t="s">
        <v>3121</v>
      </c>
      <c r="F35" s="555"/>
      <c r="G35" s="554" t="s">
        <v>3126</v>
      </c>
      <c r="H35" s="555"/>
      <c r="I35" s="576" t="s">
        <v>3121</v>
      </c>
      <c r="J35" s="555"/>
      <c r="K35" s="581"/>
      <c r="L35" s="2143"/>
      <c r="M35" s="2133"/>
      <c r="N35" s="2133"/>
      <c r="O35" s="2142"/>
      <c r="P35" s="3402"/>
      <c r="Q35" s="1573"/>
      <c r="R35" s="1574"/>
      <c r="S35" s="1575"/>
      <c r="T35" s="1574"/>
      <c r="U35" s="1575"/>
      <c r="V35" s="1574"/>
      <c r="W35" s="1575"/>
      <c r="X35" s="1568"/>
      <c r="Y35" s="3402"/>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3"/>
      <c r="M36" s="2133"/>
      <c r="N36" s="2133"/>
      <c r="O36" s="2142"/>
      <c r="P36" s="3402"/>
      <c r="Q36" s="1573" t="str">
        <f t="shared" si="8"/>
        <v>土地级别</v>
      </c>
      <c r="R36" s="1574" t="s">
        <v>8</v>
      </c>
      <c r="S36" s="1575">
        <f t="shared" si="10"/>
        <v>100</v>
      </c>
      <c r="T36" s="1574" t="s">
        <v>8</v>
      </c>
      <c r="U36" s="1575">
        <f t="shared" si="11"/>
        <v>100</v>
      </c>
      <c r="V36" s="1574" t="s">
        <v>8</v>
      </c>
      <c r="W36" s="1575">
        <f t="shared" si="12"/>
        <v>100</v>
      </c>
      <c r="X36" s="1568"/>
      <c r="Y36" s="340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3"/>
      <c r="M37" s="2133"/>
      <c r="N37" s="2133"/>
      <c r="O37" s="2142"/>
      <c r="P37" s="3402"/>
      <c r="Q37" s="1573">
        <f t="shared" si="8"/>
        <v>111</v>
      </c>
      <c r="R37" s="1574" t="s">
        <v>8</v>
      </c>
      <c r="S37" s="1575">
        <f t="shared" si="10"/>
        <v>100</v>
      </c>
      <c r="T37" s="1574" t="s">
        <v>8</v>
      </c>
      <c r="U37" s="1575">
        <f t="shared" si="11"/>
        <v>100</v>
      </c>
      <c r="V37" s="1574" t="s">
        <v>8</v>
      </c>
      <c r="W37" s="1575">
        <f t="shared" si="12"/>
        <v>100</v>
      </c>
      <c r="X37" s="1568"/>
      <c r="Y37" s="340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3"/>
      <c r="M38" s="2133"/>
      <c r="N38" s="2133"/>
      <c r="O38" s="2142"/>
      <c r="P38" s="3403" t="s">
        <v>549</v>
      </c>
      <c r="Q38" s="1573">
        <f t="shared" si="8"/>
        <v>111</v>
      </c>
      <c r="R38" s="1574" t="s">
        <v>8</v>
      </c>
      <c r="S38" s="1575">
        <f t="shared" si="10"/>
        <v>100</v>
      </c>
      <c r="T38" s="1574" t="s">
        <v>8</v>
      </c>
      <c r="U38" s="1575">
        <f t="shared" si="11"/>
        <v>100</v>
      </c>
      <c r="V38" s="1574" t="s">
        <v>8</v>
      </c>
      <c r="W38" s="1575">
        <f t="shared" si="12"/>
        <v>100</v>
      </c>
      <c r="X38" s="1568"/>
      <c r="Y38" s="3404"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1"/>
      <c r="M39" s="2133"/>
      <c r="N39" s="2133"/>
      <c r="O39" s="2144"/>
      <c r="P39" s="3404"/>
      <c r="Q39" s="1573">
        <f t="shared" si="8"/>
        <v>111</v>
      </c>
      <c r="R39" s="1578" t="s">
        <v>8</v>
      </c>
      <c r="S39" s="1579">
        <f t="shared" si="10"/>
        <v>100</v>
      </c>
      <c r="T39" s="1578" t="s">
        <v>8</v>
      </c>
      <c r="U39" s="1579">
        <f t="shared" si="11"/>
        <v>100</v>
      </c>
      <c r="V39" s="1578" t="s">
        <v>8</v>
      </c>
      <c r="W39" s="1579">
        <f t="shared" si="12"/>
        <v>100</v>
      </c>
      <c r="X39" s="1580"/>
      <c r="Y39" s="3404"/>
      <c r="Z39" s="1581">
        <f t="shared" si="13"/>
        <v>111</v>
      </c>
      <c r="AA39" s="1577">
        <f t="shared" si="3"/>
        <v>1</v>
      </c>
      <c r="AB39" s="1577">
        <f t="shared" si="4"/>
        <v>1</v>
      </c>
      <c r="AC39" s="1577">
        <f t="shared" si="5"/>
        <v>1</v>
      </c>
    </row>
    <row r="40" spans="1:29" ht="20.25">
      <c r="A40" s="2906" t="s">
        <v>2754</v>
      </c>
      <c r="B40" s="595" t="s">
        <v>551</v>
      </c>
      <c r="C40" s="596">
        <f>'数据-基础表'!A3</f>
        <v>279526</v>
      </c>
      <c r="D40" s="597">
        <v>100</v>
      </c>
      <c r="E40" s="596">
        <f>[1]Sheet1!E12</f>
        <v>55420</v>
      </c>
      <c r="F40" s="597">
        <f>LOOKUP(E40,119:119,120:120)-LOOKUP(C40,119:119,120:120)+100</f>
        <v>102</v>
      </c>
      <c r="G40" s="596">
        <f>Sheet1!E11</f>
        <v>39602</v>
      </c>
      <c r="H40" s="597">
        <f>LOOKUP(G40,119:119,120:120)-LOOKUP(C40,119:119,120:120)+100</f>
        <v>102</v>
      </c>
      <c r="I40" s="596">
        <v>1566</v>
      </c>
      <c r="J40" s="597">
        <f>LOOKUP(I40,119:119,120:120)-LOOKUP(C40,119:119,120:120)+100</f>
        <v>102</v>
      </c>
      <c r="K40" s="581"/>
      <c r="L40" s="2143"/>
      <c r="M40" s="2133"/>
      <c r="N40" s="2133"/>
      <c r="O40" s="2142"/>
      <c r="P40" s="3404"/>
      <c r="Q40" s="1573" t="str">
        <f>B40</f>
        <v>宗地面积</v>
      </c>
      <c r="R40" s="1574" t="s">
        <v>8</v>
      </c>
      <c r="S40" s="1575">
        <f t="shared" si="10"/>
        <v>102</v>
      </c>
      <c r="T40" s="1574" t="s">
        <v>8</v>
      </c>
      <c r="U40" s="1575">
        <f t="shared" si="11"/>
        <v>102</v>
      </c>
      <c r="V40" s="1574" t="s">
        <v>8</v>
      </c>
      <c r="W40" s="1575">
        <f t="shared" si="12"/>
        <v>102</v>
      </c>
      <c r="X40" s="1568"/>
      <c r="Y40" s="3404"/>
      <c r="Z40" s="1576" t="str">
        <f t="shared" si="13"/>
        <v>宗地面积</v>
      </c>
      <c r="AA40" s="1577">
        <f t="shared" si="3"/>
        <v>0.98039215686274506</v>
      </c>
      <c r="AB40" s="1577">
        <f t="shared" si="4"/>
        <v>0.98039215686274506</v>
      </c>
      <c r="AC40" s="1577">
        <f t="shared" si="5"/>
        <v>0.98039215686274506</v>
      </c>
    </row>
    <row r="41" spans="1:29" ht="20.25">
      <c r="A41" s="594"/>
      <c r="B41" s="527" t="s">
        <v>552</v>
      </c>
      <c r="C41" s="599" t="s">
        <v>3123</v>
      </c>
      <c r="D41" s="540">
        <v>100</v>
      </c>
      <c r="E41" s="599" t="s">
        <v>3123</v>
      </c>
      <c r="F41" s="540">
        <f>SUMIF(121:121,E41,122:122)-SUMIF(121:121,C41,122:122)+100</f>
        <v>100</v>
      </c>
      <c r="G41" s="599" t="s">
        <v>3123</v>
      </c>
      <c r="H41" s="540">
        <f>SUMIF(121:121,G41,122:122)-SUMIF(121:121,C41,122:122)+100</f>
        <v>100</v>
      </c>
      <c r="I41" s="599" t="s">
        <v>3123</v>
      </c>
      <c r="J41" s="540">
        <f>SUMIF(121:121,I41,122:122)-SUMIF(121:121,C41,122:122)+100</f>
        <v>100</v>
      </c>
      <c r="K41" s="584">
        <v>3</v>
      </c>
      <c r="L41" s="2143"/>
      <c r="M41" s="2133"/>
      <c r="N41" s="2133"/>
      <c r="O41" s="2142"/>
      <c r="P41" s="3404"/>
      <c r="Q41" s="1573" t="str">
        <f t="shared" ref="Q41:Q47" si="14">B41</f>
        <v>宗地形状</v>
      </c>
      <c r="R41" s="1574" t="s">
        <v>8</v>
      </c>
      <c r="S41" s="1575">
        <f t="shared" si="10"/>
        <v>100</v>
      </c>
      <c r="T41" s="1574" t="s">
        <v>8</v>
      </c>
      <c r="U41" s="1575">
        <f t="shared" si="11"/>
        <v>100</v>
      </c>
      <c r="V41" s="1574" t="s">
        <v>8</v>
      </c>
      <c r="W41" s="1575">
        <f t="shared" si="12"/>
        <v>100</v>
      </c>
      <c r="X41" s="1568"/>
      <c r="Y41" s="3404"/>
      <c r="Z41" s="1576" t="str">
        <f t="shared" si="13"/>
        <v>宗地形状</v>
      </c>
      <c r="AA41" s="1577">
        <f t="shared" si="3"/>
        <v>1</v>
      </c>
      <c r="AB41" s="1577">
        <f t="shared" si="4"/>
        <v>1</v>
      </c>
      <c r="AC41" s="1577">
        <f t="shared" si="5"/>
        <v>1</v>
      </c>
    </row>
    <row r="42" spans="1:29" ht="20.25">
      <c r="A42" s="594"/>
      <c r="B42" s="527" t="s">
        <v>553</v>
      </c>
      <c r="C42" s="599" t="s">
        <v>3124</v>
      </c>
      <c r="D42" s="540">
        <v>100</v>
      </c>
      <c r="E42" s="599" t="s">
        <v>3124</v>
      </c>
      <c r="F42" s="540">
        <f>SUMIF(123:123,E42,124:124)-SUMIF(123:123,C42,124:124)+100</f>
        <v>100</v>
      </c>
      <c r="G42" s="599" t="s">
        <v>3124</v>
      </c>
      <c r="H42" s="540">
        <f>SUMIF(123:123,G42,124:124)-SUMIF(123:123,C42,124:124)+100</f>
        <v>100</v>
      </c>
      <c r="I42" s="599" t="s">
        <v>3124</v>
      </c>
      <c r="J42" s="540">
        <f>SUMIF(123:123,I42,124:124)-SUMIF(123:123,C42,124:124)+100</f>
        <v>100</v>
      </c>
      <c r="K42" s="584">
        <v>1</v>
      </c>
      <c r="L42" s="2143"/>
      <c r="M42" s="2133"/>
      <c r="N42" s="2133"/>
      <c r="O42" s="2142"/>
      <c r="P42" s="3404"/>
      <c r="Q42" s="1573" t="str">
        <f t="shared" si="14"/>
        <v>临街宽度及深度</v>
      </c>
      <c r="R42" s="1574" t="s">
        <v>8</v>
      </c>
      <c r="S42" s="1575">
        <f t="shared" si="10"/>
        <v>100</v>
      </c>
      <c r="T42" s="1574" t="s">
        <v>8</v>
      </c>
      <c r="U42" s="1575">
        <f t="shared" si="11"/>
        <v>100</v>
      </c>
      <c r="V42" s="1574" t="s">
        <v>8</v>
      </c>
      <c r="W42" s="1575">
        <f t="shared" si="12"/>
        <v>100</v>
      </c>
      <c r="X42" s="1568"/>
      <c r="Y42" s="3404"/>
      <c r="Z42" s="1576" t="str">
        <f t="shared" si="13"/>
        <v>临街宽度及深度</v>
      </c>
      <c r="AA42" s="1577">
        <f t="shared" si="3"/>
        <v>1</v>
      </c>
      <c r="AB42" s="1577">
        <f t="shared" si="4"/>
        <v>1</v>
      </c>
      <c r="AC42" s="1577">
        <f t="shared" si="5"/>
        <v>1</v>
      </c>
    </row>
    <row r="43" spans="1:29" s="1220" customFormat="1" ht="20.25">
      <c r="A43" s="600"/>
      <c r="B43" s="1896" t="s">
        <v>2423</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6"/>
      <c r="M43" s="2133"/>
      <c r="N43" s="2133"/>
      <c r="O43" s="2138"/>
      <c r="P43" s="3404"/>
      <c r="Q43" s="1573" t="str">
        <f t="shared" si="14"/>
        <v>宗地开发程度</v>
      </c>
      <c r="R43" s="1569" t="s">
        <v>8</v>
      </c>
      <c r="S43" s="1570">
        <f t="shared" si="10"/>
        <v>100</v>
      </c>
      <c r="T43" s="1569" t="s">
        <v>8</v>
      </c>
      <c r="U43" s="1570">
        <f t="shared" si="11"/>
        <v>100</v>
      </c>
      <c r="V43" s="1569" t="s">
        <v>8</v>
      </c>
      <c r="W43" s="1570">
        <f t="shared" si="12"/>
        <v>100</v>
      </c>
      <c r="X43" s="1571"/>
      <c r="Y43" s="3404"/>
      <c r="Z43" s="1150" t="str">
        <f t="shared" si="13"/>
        <v>宗地开发程度</v>
      </c>
      <c r="AA43" s="1572">
        <f t="shared" si="3"/>
        <v>1</v>
      </c>
      <c r="AB43" s="1572">
        <f t="shared" si="4"/>
        <v>1</v>
      </c>
      <c r="AC43" s="1572">
        <f t="shared" si="5"/>
        <v>1</v>
      </c>
    </row>
    <row r="44" spans="1:29" ht="20.25">
      <c r="A44" s="594"/>
      <c r="B44" s="527" t="s">
        <v>554</v>
      </c>
      <c r="C44" s="599" t="s">
        <v>3130</v>
      </c>
      <c r="D44" s="540">
        <v>100</v>
      </c>
      <c r="E44" s="599" t="s">
        <v>3130</v>
      </c>
      <c r="F44" s="540">
        <f>SUMIF(127:127,E44,128:128)-SUMIF(127:127,C44,128:128)+100</f>
        <v>100</v>
      </c>
      <c r="G44" s="599" t="s">
        <v>3130</v>
      </c>
      <c r="H44" s="540">
        <f>SUMIF(127:127,G44,128:128)-SUMIF(127:127,C44,128:128)+100</f>
        <v>100</v>
      </c>
      <c r="I44" s="599" t="s">
        <v>3130</v>
      </c>
      <c r="J44" s="540">
        <f>SUMIF(127:127,I44,128:128)-SUMIF(127:127,C44,128:128)+100</f>
        <v>100</v>
      </c>
      <c r="K44" s="584">
        <v>1</v>
      </c>
      <c r="L44" s="2143"/>
      <c r="M44" s="2133"/>
      <c r="N44" s="2133"/>
      <c r="O44" s="2142"/>
      <c r="P44" s="3404" t="s">
        <v>549</v>
      </c>
      <c r="Q44" s="1573" t="str">
        <f t="shared" si="14"/>
        <v>工程地质条件</v>
      </c>
      <c r="R44" s="1574" t="s">
        <v>8</v>
      </c>
      <c r="S44" s="1575">
        <f t="shared" si="10"/>
        <v>100</v>
      </c>
      <c r="T44" s="1574" t="s">
        <v>8</v>
      </c>
      <c r="U44" s="1575">
        <f t="shared" si="11"/>
        <v>100</v>
      </c>
      <c r="V44" s="1574" t="s">
        <v>8</v>
      </c>
      <c r="W44" s="1575">
        <f t="shared" si="12"/>
        <v>100</v>
      </c>
      <c r="X44" s="1568"/>
      <c r="Y44" s="3404"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4"/>
      <c r="Q45" s="1573">
        <f t="shared" si="14"/>
        <v>111</v>
      </c>
      <c r="R45" s="1574" t="s">
        <v>8</v>
      </c>
      <c r="S45" s="1575">
        <f t="shared" si="10"/>
        <v>100</v>
      </c>
      <c r="T45" s="1574" t="s">
        <v>8</v>
      </c>
      <c r="U45" s="1575">
        <f t="shared" si="11"/>
        <v>100</v>
      </c>
      <c r="V45" s="1574" t="s">
        <v>8</v>
      </c>
      <c r="W45" s="1575">
        <f t="shared" si="12"/>
        <v>100</v>
      </c>
      <c r="X45" s="1568"/>
      <c r="Y45" s="340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4"/>
      <c r="Q46" s="1573">
        <f t="shared" si="14"/>
        <v>111</v>
      </c>
      <c r="R46" s="1574" t="s">
        <v>8</v>
      </c>
      <c r="S46" s="1575">
        <f t="shared" si="10"/>
        <v>100</v>
      </c>
      <c r="T46" s="1574" t="s">
        <v>8</v>
      </c>
      <c r="U46" s="1575">
        <f t="shared" si="11"/>
        <v>100</v>
      </c>
      <c r="V46" s="1574" t="s">
        <v>8</v>
      </c>
      <c r="W46" s="1575">
        <f t="shared" si="12"/>
        <v>100</v>
      </c>
      <c r="X46" s="1568"/>
      <c r="Y46" s="340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4"/>
      <c r="Q47" s="1573">
        <f t="shared" si="14"/>
        <v>111</v>
      </c>
      <c r="R47" s="1578" t="s">
        <v>8</v>
      </c>
      <c r="S47" s="1579">
        <f t="shared" si="10"/>
        <v>100</v>
      </c>
      <c r="T47" s="1578" t="s">
        <v>8</v>
      </c>
      <c r="U47" s="1579">
        <f t="shared" si="11"/>
        <v>100</v>
      </c>
      <c r="V47" s="1578" t="s">
        <v>8</v>
      </c>
      <c r="W47" s="1579">
        <f t="shared" si="12"/>
        <v>100</v>
      </c>
      <c r="X47" s="1580"/>
      <c r="Y47" s="3404"/>
      <c r="Z47" s="1581">
        <f t="shared" si="13"/>
        <v>111</v>
      </c>
      <c r="AA47" s="1577">
        <f t="shared" si="3"/>
        <v>1</v>
      </c>
      <c r="AB47" s="1577">
        <f t="shared" si="4"/>
        <v>1</v>
      </c>
      <c r="AC47" s="1577">
        <f t="shared" si="5"/>
        <v>1</v>
      </c>
    </row>
    <row r="48" spans="1:29" ht="20.25">
      <c r="A48" s="607" t="s">
        <v>555</v>
      </c>
      <c r="B48" s="608" t="s">
        <v>3132</v>
      </c>
      <c r="C48" s="609" t="s">
        <v>1</v>
      </c>
      <c r="D48" s="610"/>
      <c r="E48" s="611">
        <v>453.77</v>
      </c>
      <c r="F48" s="612"/>
      <c r="G48" s="613">
        <v>453.8</v>
      </c>
      <c r="H48" s="614"/>
      <c r="I48" s="611">
        <v>415.06</v>
      </c>
      <c r="J48" s="614"/>
      <c r="K48" s="1340"/>
      <c r="L48" s="2145"/>
      <c r="M48" s="2133"/>
      <c r="N48" s="2133"/>
      <c r="O48" s="2146"/>
      <c r="P48" s="3367" t="str">
        <f>A48</f>
        <v>成交单价</v>
      </c>
      <c r="Q48" s="3367"/>
      <c r="R48" s="3368">
        <f>E48</f>
        <v>453.77</v>
      </c>
      <c r="S48" s="3368"/>
      <c r="T48" s="3368">
        <f>G48</f>
        <v>453.8</v>
      </c>
      <c r="U48" s="3368"/>
      <c r="V48" s="3368">
        <f>I48</f>
        <v>415.06</v>
      </c>
      <c r="W48" s="3368"/>
      <c r="X48" s="1560"/>
      <c r="Y48" s="1582"/>
      <c r="Z48" s="1560"/>
      <c r="AA48" s="1560"/>
      <c r="AB48" s="1560"/>
      <c r="AC48" s="1560"/>
    </row>
    <row r="49" spans="1:29" ht="21" thickBot="1">
      <c r="A49" s="615" t="s">
        <v>2692</v>
      </c>
      <c r="B49" s="616"/>
      <c r="C49" s="617">
        <f>R50</f>
        <v>339</v>
      </c>
      <c r="D49" s="618"/>
      <c r="E49" s="617">
        <f>R49</f>
        <v>324</v>
      </c>
      <c r="F49" s="619"/>
      <c r="G49" s="620">
        <f>T49</f>
        <v>324</v>
      </c>
      <c r="H49" s="618"/>
      <c r="I49" s="617">
        <f>V49</f>
        <v>368</v>
      </c>
      <c r="J49" s="618"/>
      <c r="K49" s="1341"/>
      <c r="L49" s="2145"/>
      <c r="M49" s="2133"/>
      <c r="N49" s="2133"/>
      <c r="O49" s="2146"/>
      <c r="P49" s="3367" t="str">
        <f>A49</f>
        <v>比较价格（元/平方米）</v>
      </c>
      <c r="Q49" s="3367"/>
      <c r="R49" s="3369">
        <f>ROUND(PRODUCT(R48,AA9:AA47),0)</f>
        <v>324</v>
      </c>
      <c r="S49" s="3369"/>
      <c r="T49" s="3369">
        <f>ROUND(PRODUCT(T48,AB9:AB47),0)</f>
        <v>324</v>
      </c>
      <c r="U49" s="3369"/>
      <c r="V49" s="3369">
        <f>ROUND(PRODUCT(V48,AC9:AC47),0)</f>
        <v>368</v>
      </c>
      <c r="W49" s="3369"/>
      <c r="X49" s="1560"/>
      <c r="Y49" s="1560"/>
      <c r="Z49" s="1560"/>
      <c r="AA49" s="1560"/>
      <c r="AB49" s="1560"/>
      <c r="AC49" s="1560"/>
    </row>
    <row r="50" spans="1:29" ht="21" thickBot="1">
      <c r="A50" s="621" t="s">
        <v>2933</v>
      </c>
      <c r="B50" s="622"/>
      <c r="C50" s="623">
        <f>R50</f>
        <v>339</v>
      </c>
      <c r="D50" s="623"/>
      <c r="E50" s="623"/>
      <c r="F50" s="623"/>
      <c r="G50" s="623"/>
      <c r="H50" s="623"/>
      <c r="I50" s="623"/>
      <c r="J50" s="623"/>
      <c r="K50" s="1342"/>
      <c r="L50" s="2145"/>
      <c r="M50" s="2133"/>
      <c r="N50" s="2133"/>
      <c r="O50" s="2146"/>
      <c r="P50" s="3364" t="str">
        <f>A50</f>
        <v>估价对象XX用房的比较价格（楼面单价，元/平方米）</v>
      </c>
      <c r="Q50" s="3365"/>
      <c r="R50" s="3366">
        <f>ROUND(AVERAGE(R49:V49),0)</f>
        <v>339</v>
      </c>
      <c r="S50" s="3366"/>
      <c r="T50" s="3366"/>
      <c r="U50" s="3366"/>
      <c r="V50" s="3366"/>
      <c r="W50" s="336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0.40052469135802471</v>
      </c>
      <c r="F53" s="627" t="str">
        <f>IF(OR(E53&gt;=0.3,E53&lt;=-0.3),"超过30%","")</f>
        <v>超过30%</v>
      </c>
      <c r="G53" s="626">
        <f>IF(G48&lt;G49,G49/G48-1,G48/G49-1)</f>
        <v>0.40061728395061724</v>
      </c>
      <c r="H53" s="627" t="str">
        <f>IF(OR(G53&gt;=0.3,G53&lt;=-0.3),"超过30%","")</f>
        <v>超过30%</v>
      </c>
      <c r="I53" s="626">
        <f>IF(I48&lt;I49,I49/I48-1,I48/I49-1)</f>
        <v>0.1278804347826088</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v>
      </c>
      <c r="F54" s="627" t="str">
        <f>IF(OR(E54&gt;=0.2,E54&lt;=-0.2),"超过20%","")</f>
        <v/>
      </c>
      <c r="G54" s="626">
        <f>IF(G49&lt;I49,I49/G49-1,G49/I49-1)</f>
        <v>0.13580246913580241</v>
      </c>
      <c r="H54" s="627" t="str">
        <f>IF(OR(G54&gt;=0.2,G54&lt;=-0.2),"超过20%","")</f>
        <v/>
      </c>
      <c r="I54" s="626">
        <f>IF(I49&lt;E49,E49/I49-1,I49/E49-1)</f>
        <v>0.13580246913580241</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6.6112788417171942E-5</v>
      </c>
      <c r="F55" s="627" t="str">
        <f>IF(OR(E55&gt;=0.3,E55&lt;=-0.3),"超过30%","")</f>
        <v/>
      </c>
      <c r="G55" s="626">
        <f>IF(G48&lt;I48,I48/G48-1,G48/I48-1)</f>
        <v>9.3335903242904639E-2</v>
      </c>
      <c r="H55" s="627" t="str">
        <f>IF(OR(G55&gt;=0.3,G55&lt;=-0.3),"超过30%","")</f>
        <v/>
      </c>
      <c r="I55" s="626">
        <f>IF(I48&lt;E48,E48/I48-1,I48/E48-1)</f>
        <v>9.3263624536211509E-2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559</v>
      </c>
      <c r="B57" s="630" t="s">
        <v>560</v>
      </c>
      <c r="C57" s="1561" t="s">
        <v>1724</v>
      </c>
      <c r="D57" s="2228" t="s">
        <v>2294</v>
      </c>
      <c r="E57" s="631" t="s">
        <v>561</v>
      </c>
      <c r="F57" s="632" t="s">
        <v>562</v>
      </c>
      <c r="G57" s="3393" t="s">
        <v>2282</v>
      </c>
      <c r="H57" s="3394"/>
      <c r="I57" s="1556" t="s">
        <v>1722</v>
      </c>
      <c r="J57" s="1556" t="str">
        <f>项目基本情况!F41</f>
        <v>山东省高密市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339</v>
      </c>
      <c r="C58" s="635">
        <v>1</v>
      </c>
      <c r="D58" s="2229">
        <v>1</v>
      </c>
      <c r="E58" s="635">
        <f>'数据-汇总表'!E8+'数据-汇总表'!E9</f>
        <v>782672.8</v>
      </c>
      <c r="F58" s="636">
        <f t="shared" ref="F58:F67" si="15">ROUND(B58*E58/10000,0)</f>
        <v>26533</v>
      </c>
      <c r="G58" s="3395"/>
      <c r="H58" s="339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39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39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39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39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2295</v>
      </c>
      <c r="E68" s="643">
        <f>IF(B48="楼面地价",SUM(E58:E67),'数据-汇总表'!D3)</f>
        <v>782672.8</v>
      </c>
      <c r="F68" s="644">
        <f>IF(B48="楼面地价",SUM(F58:F67),ROUND(C50*E68/10000,0))</f>
        <v>26533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6"/>
      <c r="P70" s="2146"/>
      <c r="Q70" s="2146"/>
      <c r="R70" s="2146"/>
      <c r="S70" s="2146"/>
      <c r="T70" s="2146"/>
      <c r="U70" s="2146"/>
      <c r="V70" s="2146"/>
      <c r="W70" s="2146"/>
      <c r="X70" s="2146"/>
      <c r="Y70" s="2146"/>
      <c r="Z70" s="2146"/>
      <c r="AA70" s="2146"/>
      <c r="AB70" s="2146"/>
      <c r="AC70" s="2146"/>
    </row>
    <row r="71" spans="1:29" ht="21.75" thickBot="1">
      <c r="A71" s="1585" t="s">
        <v>573</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5" t="s">
        <v>2646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5" t="s">
        <v>2645</v>
      </c>
      <c r="B74" s="2804"/>
      <c r="C74" s="2789"/>
      <c r="D74" s="2790"/>
      <c r="E74" s="2790"/>
      <c r="F74" s="2790"/>
      <c r="G74" s="2790"/>
      <c r="H74" s="2790"/>
      <c r="I74" s="2790"/>
      <c r="J74" s="2790"/>
      <c r="K74" s="2790"/>
      <c r="L74" s="2790"/>
      <c r="M74" s="2790"/>
      <c r="N74" s="2790"/>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7" t="s">
        <v>3100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0（含）-2</v>
      </c>
      <c r="D81" s="682" t="str">
        <f t="shared" ref="D81:L81" si="20">D82&amp;"（含）"&amp;"-"&amp;E82</f>
        <v>2（含）-4</v>
      </c>
      <c r="E81" s="682" t="str">
        <f t="shared" si="20"/>
        <v>4（含）-6</v>
      </c>
      <c r="F81" s="682" t="str">
        <f t="shared" si="20"/>
        <v>6（含）-8</v>
      </c>
      <c r="G81" s="682" t="str">
        <f t="shared" si="20"/>
        <v>8（含）-10</v>
      </c>
      <c r="H81" s="682" t="str">
        <f t="shared" si="20"/>
        <v>10（含）-12</v>
      </c>
      <c r="I81" s="682" t="str">
        <f t="shared" si="20"/>
        <v>12（含）-14</v>
      </c>
      <c r="J81" s="682" t="str">
        <f t="shared" si="20"/>
        <v>14（含）-16</v>
      </c>
      <c r="K81" s="682" t="str">
        <f t="shared" si="20"/>
        <v>16（含）-18</v>
      </c>
      <c r="L81" s="682" t="str">
        <f t="shared" si="20"/>
        <v>18（含）-20</v>
      </c>
      <c r="M81" s="555" t="str">
        <f>M82&amp;"（含）"&amp;"-"&amp;P82</f>
        <v>20（含）-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C82+2</f>
        <v>2</v>
      </c>
      <c r="E82" s="541">
        <f t="shared" ref="E82:M82" si="21">D82+2</f>
        <v>4</v>
      </c>
      <c r="F82" s="541">
        <f t="shared" si="21"/>
        <v>6</v>
      </c>
      <c r="G82" s="541">
        <f t="shared" si="21"/>
        <v>8</v>
      </c>
      <c r="H82" s="541">
        <f t="shared" si="21"/>
        <v>10</v>
      </c>
      <c r="I82" s="541">
        <f t="shared" si="21"/>
        <v>12</v>
      </c>
      <c r="J82" s="541">
        <f t="shared" si="21"/>
        <v>14</v>
      </c>
      <c r="K82" s="541">
        <f t="shared" si="21"/>
        <v>16</v>
      </c>
      <c r="L82" s="541">
        <f t="shared" si="21"/>
        <v>18</v>
      </c>
      <c r="M82" s="541">
        <f t="shared" si="21"/>
        <v>20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90</v>
      </c>
      <c r="E83" s="679">
        <f t="shared" ref="E83:M83" si="22">IF($B$48="单位面积地价",D83+$K13,D83-$K13)</f>
        <v>80</v>
      </c>
      <c r="F83" s="679">
        <f t="shared" si="22"/>
        <v>70</v>
      </c>
      <c r="G83" s="679">
        <f t="shared" si="22"/>
        <v>60</v>
      </c>
      <c r="H83" s="679">
        <f t="shared" si="22"/>
        <v>50</v>
      </c>
      <c r="I83" s="679">
        <f t="shared" si="22"/>
        <v>40</v>
      </c>
      <c r="J83" s="679">
        <f t="shared" si="22"/>
        <v>30</v>
      </c>
      <c r="K83" s="679">
        <f t="shared" si="22"/>
        <v>20</v>
      </c>
      <c r="L83" s="679">
        <f t="shared" si="22"/>
        <v>10</v>
      </c>
      <c r="M83" s="679">
        <f t="shared" si="22"/>
        <v>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88"/>
      <c r="D108" s="3188" t="s">
        <v>3127</v>
      </c>
      <c r="E108" s="688"/>
      <c r="F108" s="3188" t="s">
        <v>3122</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6">C119&amp;"(含)"&amp;"-"&amp;D119</f>
        <v>0(含)-100000</v>
      </c>
      <c r="D118" s="704" t="str">
        <f t="shared" si="26"/>
        <v>100000(含)-200000</v>
      </c>
      <c r="E118" s="704" t="str">
        <f t="shared" si="26"/>
        <v>200000(含)-300000</v>
      </c>
      <c r="F118" s="704" t="str">
        <f t="shared" si="26"/>
        <v>300000(含)-400000</v>
      </c>
      <c r="G118" s="704" t="str">
        <f t="shared" si="26"/>
        <v>400000(含)-</v>
      </c>
      <c r="H118" s="704" t="str">
        <f t="shared" si="26"/>
        <v>(含)-</v>
      </c>
      <c r="I118" s="704" t="str">
        <f t="shared" si="26"/>
        <v>(含)-</v>
      </c>
      <c r="J118" s="3092" t="str">
        <f t="shared" si="26"/>
        <v>(含)-</v>
      </c>
      <c r="K118" s="3092" t="str">
        <f t="shared" si="26"/>
        <v>(含)-</v>
      </c>
      <c r="L118" s="3093" t="str">
        <f t="shared" si="26"/>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C119+100000</f>
        <v>100000</v>
      </c>
      <c r="E119" s="730">
        <f t="shared" ref="E119:G119" si="27">D119+100000</f>
        <v>200000</v>
      </c>
      <c r="F119" s="730">
        <f t="shared" si="27"/>
        <v>300000</v>
      </c>
      <c r="G119" s="730">
        <f t="shared" si="27"/>
        <v>400000</v>
      </c>
      <c r="H119" s="730"/>
      <c r="I119" s="730"/>
      <c r="J119" s="730"/>
      <c r="K119" s="730"/>
      <c r="L119" s="730"/>
      <c r="M119" s="236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99</v>
      </c>
      <c r="E120" s="726">
        <f t="shared" ref="E120:G120" si="28">D120-1</f>
        <v>98</v>
      </c>
      <c r="F120" s="726">
        <f t="shared" si="28"/>
        <v>97</v>
      </c>
      <c r="G120" s="726">
        <f t="shared" si="28"/>
        <v>96</v>
      </c>
      <c r="H120" s="726"/>
      <c r="I120" s="700"/>
      <c r="J120" s="726"/>
      <c r="K120" s="700"/>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t="s">
        <v>3101</v>
      </c>
      <c r="D121" s="718" t="s">
        <v>3102</v>
      </c>
      <c r="E121" s="718" t="s">
        <v>3103</v>
      </c>
      <c r="F121" s="718" t="s">
        <v>3104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9">C122-$K41</f>
        <v>97</v>
      </c>
      <c r="E122" s="679">
        <f t="shared" si="29"/>
        <v>94</v>
      </c>
      <c r="F122" s="679">
        <f t="shared" si="29"/>
        <v>91</v>
      </c>
      <c r="G122" s="679">
        <f t="shared" si="29"/>
        <v>88</v>
      </c>
      <c r="H122" s="679">
        <f t="shared" si="29"/>
        <v>85</v>
      </c>
      <c r="I122" s="679">
        <f t="shared" si="29"/>
        <v>82</v>
      </c>
      <c r="J122" s="679">
        <f t="shared" si="29"/>
        <v>79</v>
      </c>
      <c r="K122" s="679">
        <f t="shared" si="29"/>
        <v>76</v>
      </c>
      <c r="L122" s="679">
        <f t="shared" si="29"/>
        <v>73</v>
      </c>
      <c r="M122" s="680">
        <f t="shared" si="29"/>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t="s">
        <v>3105</v>
      </c>
      <c r="D123" s="688" t="s">
        <v>3106</v>
      </c>
      <c r="E123" s="688" t="s">
        <v>3107</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688" t="s">
        <v>3108</v>
      </c>
      <c r="D125" s="688" t="s">
        <v>3109</v>
      </c>
      <c r="E125" s="688" t="s">
        <v>3110</v>
      </c>
      <c r="F125" s="688" t="s">
        <v>3111</v>
      </c>
      <c r="G125" s="688" t="s">
        <v>3112</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t="s">
        <v>3113</v>
      </c>
      <c r="D127" s="688" t="s">
        <v>3114</v>
      </c>
      <c r="E127" s="718" t="s">
        <v>3115</v>
      </c>
      <c r="F127" s="718" t="s">
        <v>3116</v>
      </c>
      <c r="G127" s="718" t="s">
        <v>3117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520</v>
      </c>
      <c r="B6" s="513"/>
      <c r="C6" s="3373" t="s">
        <v>521</v>
      </c>
      <c r="D6" s="3374"/>
      <c r="E6" s="3407" t="s">
        <v>522</v>
      </c>
      <c r="F6" s="3408"/>
      <c r="G6" s="3373" t="s">
        <v>523</v>
      </c>
      <c r="H6" s="3374"/>
      <c r="I6" s="3373" t="s">
        <v>524</v>
      </c>
      <c r="J6" s="3374"/>
      <c r="K6" s="514" t="s">
        <v>525</v>
      </c>
      <c r="L6" s="2134"/>
      <c r="M6" s="2135"/>
      <c r="N6" s="2135"/>
      <c r="O6" s="2135"/>
      <c r="P6" s="3375" t="s">
        <v>526</v>
      </c>
      <c r="Q6" s="3376"/>
      <c r="R6" s="3381" t="s">
        <v>522</v>
      </c>
      <c r="S6" s="3382"/>
      <c r="T6" s="3381" t="s">
        <v>523</v>
      </c>
      <c r="U6" s="3382"/>
      <c r="V6" s="3368" t="s">
        <v>524</v>
      </c>
      <c r="W6" s="3368"/>
      <c r="X6" s="1568"/>
      <c r="Y6" s="3381" t="s">
        <v>526</v>
      </c>
      <c r="Z6" s="3382"/>
      <c r="AA6" s="3370" t="s">
        <v>522</v>
      </c>
      <c r="AB6" s="3371" t="s">
        <v>523</v>
      </c>
      <c r="AC6" s="3370" t="s">
        <v>524</v>
      </c>
    </row>
    <row r="7" spans="1:29" ht="15">
      <c r="A7" s="515"/>
      <c r="B7" s="516"/>
      <c r="C7" s="3389" t="s">
        <v>2927</v>
      </c>
      <c r="D7" s="3390"/>
      <c r="E7" s="3409" t="s">
        <v>2928</v>
      </c>
      <c r="F7" s="3410"/>
      <c r="G7" s="3389" t="s">
        <v>2929</v>
      </c>
      <c r="H7" s="3390"/>
      <c r="I7" s="3389" t="s">
        <v>2930</v>
      </c>
      <c r="J7" s="3390"/>
      <c r="K7" s="514"/>
      <c r="L7" s="2134"/>
      <c r="M7" s="2135"/>
      <c r="N7" s="2135"/>
      <c r="O7" s="2135"/>
      <c r="P7" s="3377"/>
      <c r="Q7" s="3378"/>
      <c r="R7" s="3383"/>
      <c r="S7" s="3384"/>
      <c r="T7" s="3383"/>
      <c r="U7" s="3384"/>
      <c r="V7" s="3368"/>
      <c r="W7" s="3368"/>
      <c r="X7" s="1568"/>
      <c r="Y7" s="3383"/>
      <c r="Z7" s="3384"/>
      <c r="AA7" s="3371"/>
      <c r="AB7" s="3371"/>
      <c r="AC7" s="3371"/>
    </row>
    <row r="8" spans="1:29" ht="15.75" thickBot="1">
      <c r="A8" s="517"/>
      <c r="B8" s="518"/>
      <c r="C8" s="3387" t="s">
        <v>2931</v>
      </c>
      <c r="D8" s="3388"/>
      <c r="E8" s="3405" t="s">
        <v>2931</v>
      </c>
      <c r="F8" s="3406"/>
      <c r="G8" s="3387" t="s">
        <v>2931</v>
      </c>
      <c r="H8" s="3388"/>
      <c r="I8" s="3387" t="s">
        <v>2931</v>
      </c>
      <c r="J8" s="3388"/>
      <c r="K8" s="514" t="s">
        <v>527</v>
      </c>
      <c r="L8" s="2134"/>
      <c r="M8" s="2135"/>
      <c r="N8" s="2135"/>
      <c r="O8" s="2135"/>
      <c r="P8" s="3379"/>
      <c r="Q8" s="3380"/>
      <c r="R8" s="3383"/>
      <c r="S8" s="3384"/>
      <c r="T8" s="3385"/>
      <c r="U8" s="3386"/>
      <c r="V8" s="3368"/>
      <c r="W8" s="3368"/>
      <c r="X8" s="1568"/>
      <c r="Y8" s="3385"/>
      <c r="Z8" s="3386"/>
      <c r="AA8" s="3372"/>
      <c r="AB8" s="3372"/>
      <c r="AC8" s="3372"/>
    </row>
    <row r="9" spans="1:29" s="1220" customFormat="1" ht="15.75" thickBot="1">
      <c r="A9" s="2911"/>
      <c r="B9" s="2918" t="s">
        <v>528</v>
      </c>
      <c r="C9" s="519">
        <f>'数据-取费表'!B2</f>
        <v>43426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8" t="s">
        <v>529</v>
      </c>
      <c r="Q9" s="3400"/>
      <c r="R9" s="1569" t="s">
        <v>8</v>
      </c>
      <c r="S9" s="1570">
        <f t="shared" ref="S9:S17" si="0">F9</f>
        <v>0</v>
      </c>
      <c r="T9" s="1569" t="s">
        <v>8</v>
      </c>
      <c r="U9" s="1570">
        <f t="shared" ref="U9:U17" si="1">H9</f>
        <v>0</v>
      </c>
      <c r="V9" s="1569" t="s">
        <v>8</v>
      </c>
      <c r="W9" s="1570">
        <f t="shared" ref="W9:W17" si="2">J9</f>
        <v>0</v>
      </c>
      <c r="X9" s="1571"/>
      <c r="Y9" s="3398" t="s">
        <v>529</v>
      </c>
      <c r="Z9" s="3399"/>
      <c r="AA9" s="1572" t="e">
        <f>D9/F9</f>
        <v>#DIV/0!</v>
      </c>
      <c r="AB9" s="1572" t="e">
        <f>D9/H9</f>
        <v>#DIV/0!</v>
      </c>
      <c r="AC9" s="1572" t="e">
        <f>D9/J9</f>
        <v>#DIV/0!</v>
      </c>
    </row>
    <row r="10" spans="1:29" s="1220"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8" t="s">
        <v>532</v>
      </c>
      <c r="Q10" s="3399"/>
      <c r="R10" s="1569" t="s">
        <v>8</v>
      </c>
      <c r="S10" s="1570">
        <f t="shared" si="0"/>
        <v>0</v>
      </c>
      <c r="T10" s="1569" t="s">
        <v>8</v>
      </c>
      <c r="U10" s="1570">
        <f t="shared" si="1"/>
        <v>0</v>
      </c>
      <c r="V10" s="1569" t="s">
        <v>8</v>
      </c>
      <c r="W10" s="1570">
        <f t="shared" si="2"/>
        <v>0</v>
      </c>
      <c r="X10" s="1571"/>
      <c r="Y10" s="3398" t="s">
        <v>532</v>
      </c>
      <c r="Z10" s="3399"/>
      <c r="AA10" s="1572" t="e">
        <f t="shared" ref="AA10:AA42" si="3">D10/F10</f>
        <v>#DIV/0!</v>
      </c>
      <c r="AB10" s="1572" t="e">
        <f t="shared" ref="AB10:AB42" si="4">D10/H10</f>
        <v>#DIV/0!</v>
      </c>
      <c r="AC10" s="1572" t="e">
        <f t="shared" ref="AC10:AC42" si="5">D10/J10</f>
        <v>#DIV/0!</v>
      </c>
    </row>
    <row r="11" spans="1:29" s="1220"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7" t="s">
        <v>534</v>
      </c>
      <c r="Q11" s="1151" t="str">
        <f t="shared" ref="Q11:Q17" si="6">B11</f>
        <v>用途</v>
      </c>
      <c r="R11" s="1569" t="s">
        <v>8</v>
      </c>
      <c r="S11" s="1570">
        <f t="shared" si="0"/>
        <v>100</v>
      </c>
      <c r="T11" s="1569" t="s">
        <v>8</v>
      </c>
      <c r="U11" s="1570">
        <f t="shared" si="1"/>
        <v>100</v>
      </c>
      <c r="V11" s="1569" t="s">
        <v>8</v>
      </c>
      <c r="W11" s="1570">
        <f t="shared" si="2"/>
        <v>100</v>
      </c>
      <c r="X11" s="1571"/>
      <c r="Y11" s="3307" t="s">
        <v>535</v>
      </c>
      <c r="Z11" s="1150" t="str">
        <f t="shared" ref="Z11:Z17" si="7">Q11</f>
        <v>用途</v>
      </c>
      <c r="AA11" s="1572">
        <f t="shared" si="3"/>
        <v>1</v>
      </c>
      <c r="AB11" s="1572">
        <f t="shared" si="4"/>
        <v>1</v>
      </c>
      <c r="AC11" s="1572">
        <f t="shared" si="5"/>
        <v>1</v>
      </c>
    </row>
    <row r="12" spans="1:29" s="1338" customFormat="1" ht="27">
      <c r="A12" s="2914"/>
      <c r="B12" s="2919" t="s">
        <v>2756</v>
      </c>
      <c r="C12" s="528"/>
      <c r="D12" s="255">
        <v>100</v>
      </c>
      <c r="E12" s="528"/>
      <c r="F12" s="255">
        <f>ROUND(100/'数据-取费表'!G16,0)</f>
        <v>119</v>
      </c>
      <c r="G12" s="528"/>
      <c r="H12" s="255">
        <f>ROUND(100/'数据-取费表'!G16,0)</f>
        <v>119</v>
      </c>
      <c r="I12" s="528"/>
      <c r="J12" s="255">
        <f>ROUND(100/'数据-取费表'!G16,0)</f>
        <v>119</v>
      </c>
      <c r="K12" s="531"/>
      <c r="L12" s="2139"/>
      <c r="M12" s="2179"/>
      <c r="N12" s="2179"/>
      <c r="O12" s="2140"/>
      <c r="P12" s="3367"/>
      <c r="Q12" s="1151" t="str">
        <f t="shared" si="6"/>
        <v>土地使用年限（年）</v>
      </c>
      <c r="R12" s="1569" t="s">
        <v>8</v>
      </c>
      <c r="S12" s="1570">
        <f t="shared" si="0"/>
        <v>119</v>
      </c>
      <c r="T12" s="1569" t="s">
        <v>8</v>
      </c>
      <c r="U12" s="1570">
        <f t="shared" si="1"/>
        <v>119</v>
      </c>
      <c r="V12" s="1569" t="s">
        <v>8</v>
      </c>
      <c r="W12" s="1570">
        <f t="shared" si="2"/>
        <v>119</v>
      </c>
      <c r="X12" s="1571"/>
      <c r="Y12" s="3307"/>
      <c r="Z12" s="1150" t="str">
        <f t="shared" si="7"/>
        <v>土地使用年限（年）</v>
      </c>
      <c r="AA12" s="1572">
        <f t="shared" si="3"/>
        <v>0.84033613445378152</v>
      </c>
      <c r="AB12" s="1572">
        <f t="shared" si="4"/>
        <v>0.84033613445378152</v>
      </c>
      <c r="AC12" s="1572">
        <f t="shared" si="5"/>
        <v>0.84033613445378152</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7"/>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7"/>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7"/>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7"/>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09"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1" t="s">
        <v>539</v>
      </c>
      <c r="Q17" s="1573" t="str">
        <f t="shared" si="6"/>
        <v>产业集聚程度</v>
      </c>
      <c r="R17" s="1574" t="s">
        <v>8</v>
      </c>
      <c r="S17" s="1575">
        <f t="shared" si="0"/>
        <v>100</v>
      </c>
      <c r="T17" s="1574" t="s">
        <v>8</v>
      </c>
      <c r="U17" s="1575">
        <f t="shared" si="1"/>
        <v>100</v>
      </c>
      <c r="V17" s="1574" t="s">
        <v>8</v>
      </c>
      <c r="W17" s="1575">
        <f t="shared" si="2"/>
        <v>100</v>
      </c>
      <c r="X17" s="1568"/>
      <c r="Y17" s="3401"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2"/>
      <c r="Q18" s="1573"/>
      <c r="R18" s="1574"/>
      <c r="S18" s="1575"/>
      <c r="T18" s="1574"/>
      <c r="U18" s="1575"/>
      <c r="V18" s="1574"/>
      <c r="W18" s="1575"/>
      <c r="X18" s="1568"/>
      <c r="Y18" s="3402"/>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2"/>
      <c r="Q19" s="1573" t="str">
        <f>B19</f>
        <v>交通便捷度</v>
      </c>
      <c r="R19" s="1574" t="s">
        <v>8</v>
      </c>
      <c r="S19" s="1575">
        <f>F19</f>
        <v>100</v>
      </c>
      <c r="T19" s="1574" t="s">
        <v>8</v>
      </c>
      <c r="U19" s="1575">
        <f>H19</f>
        <v>100</v>
      </c>
      <c r="V19" s="1574" t="s">
        <v>8</v>
      </c>
      <c r="W19" s="1575">
        <f>J19</f>
        <v>100</v>
      </c>
      <c r="X19" s="1568"/>
      <c r="Y19" s="340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2"/>
      <c r="Q20" s="1573"/>
      <c r="R20" s="1574"/>
      <c r="S20" s="1575"/>
      <c r="T20" s="1574"/>
      <c r="U20" s="1575"/>
      <c r="V20" s="1574"/>
      <c r="W20" s="1575"/>
      <c r="X20" s="1568"/>
      <c r="Y20" s="3402"/>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2"/>
      <c r="Q21" s="1573" t="str">
        <f t="shared" ref="Q21:Q35" si="8">B21</f>
        <v>区域土地利用方向</v>
      </c>
      <c r="R21" s="1574" t="s">
        <v>8</v>
      </c>
      <c r="S21" s="1575">
        <f>F21</f>
        <v>100</v>
      </c>
      <c r="T21" s="1574" t="s">
        <v>8</v>
      </c>
      <c r="U21" s="1575">
        <f>H21</f>
        <v>100</v>
      </c>
      <c r="V21" s="1574" t="s">
        <v>8</v>
      </c>
      <c r="W21" s="1575">
        <f>J21</f>
        <v>100</v>
      </c>
      <c r="X21" s="1568"/>
      <c r="Y21" s="340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2"/>
      <c r="Q22" s="1573"/>
      <c r="R22" s="1574"/>
      <c r="S22" s="1575"/>
      <c r="T22" s="1574"/>
      <c r="U22" s="1575"/>
      <c r="V22" s="1574"/>
      <c r="W22" s="1575"/>
      <c r="X22" s="1568"/>
      <c r="Y22" s="3402"/>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2"/>
      <c r="Q23" s="1573" t="str">
        <f t="shared" si="8"/>
        <v>环境状况</v>
      </c>
      <c r="R23" s="1574" t="s">
        <v>8</v>
      </c>
      <c r="S23" s="1575">
        <f>F23</f>
        <v>100</v>
      </c>
      <c r="T23" s="1574" t="s">
        <v>8</v>
      </c>
      <c r="U23" s="1575">
        <f>H23</f>
        <v>100</v>
      </c>
      <c r="V23" s="1574" t="s">
        <v>8</v>
      </c>
      <c r="W23" s="1575">
        <f>J23</f>
        <v>100</v>
      </c>
      <c r="X23" s="1568"/>
      <c r="Y23" s="340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2"/>
      <c r="Q24" s="1573"/>
      <c r="R24" s="1574"/>
      <c r="S24" s="1575"/>
      <c r="T24" s="1574"/>
      <c r="U24" s="1575"/>
      <c r="V24" s="1574"/>
      <c r="W24" s="1575"/>
      <c r="X24" s="1568"/>
      <c r="Y24" s="3402"/>
      <c r="Z24" s="1576"/>
      <c r="AA24" s="1577">
        <v>1</v>
      </c>
      <c r="AB24" s="1577">
        <v>1</v>
      </c>
      <c r="AC24" s="1577">
        <v>1</v>
      </c>
    </row>
    <row r="25" spans="1:29" s="1220"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2"/>
      <c r="Q25" s="1151" t="str">
        <f t="shared" si="8"/>
        <v>公共配套设施</v>
      </c>
      <c r="R25" s="1569" t="s">
        <v>8</v>
      </c>
      <c r="S25" s="1570">
        <f>F25</f>
        <v>100</v>
      </c>
      <c r="T25" s="1569" t="s">
        <v>8</v>
      </c>
      <c r="U25" s="1570">
        <f>H25</f>
        <v>100</v>
      </c>
      <c r="V25" s="1569" t="s">
        <v>8</v>
      </c>
      <c r="W25" s="1570">
        <f>J25</f>
        <v>100</v>
      </c>
      <c r="X25" s="1571"/>
      <c r="Y25" s="3402"/>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6"/>
      <c r="M26" s="2137"/>
      <c r="N26" s="2137"/>
      <c r="O26" s="2138"/>
      <c r="P26" s="3402"/>
      <c r="Q26" s="1151"/>
      <c r="R26" s="1569"/>
      <c r="S26" s="1570"/>
      <c r="T26" s="1569"/>
      <c r="U26" s="1570"/>
      <c r="V26" s="1569"/>
      <c r="W26" s="1570"/>
      <c r="X26" s="1571"/>
      <c r="Y26" s="3402"/>
      <c r="Z26" s="1150"/>
      <c r="AA26" s="1572">
        <v>1</v>
      </c>
      <c r="AB26" s="1572">
        <v>1</v>
      </c>
      <c r="AC26" s="1572">
        <v>1</v>
      </c>
    </row>
    <row r="27" spans="1:29" s="1220"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2"/>
      <c r="Q27" s="2577" t="str">
        <f t="shared" ref="Q27" si="9">B27</f>
        <v>基础设施水平</v>
      </c>
      <c r="R27" s="1569" t="s">
        <v>8</v>
      </c>
      <c r="S27" s="1570">
        <f>F27</f>
        <v>100</v>
      </c>
      <c r="T27" s="1569" t="s">
        <v>8</v>
      </c>
      <c r="U27" s="1570">
        <f>H27</f>
        <v>100</v>
      </c>
      <c r="V27" s="1569" t="s">
        <v>8</v>
      </c>
      <c r="W27" s="1570">
        <f>J27</f>
        <v>100</v>
      </c>
      <c r="X27" s="1571"/>
      <c r="Y27" s="3402"/>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6"/>
      <c r="M28" s="2137"/>
      <c r="N28" s="2137"/>
      <c r="O28" s="2138"/>
      <c r="P28" s="3402"/>
      <c r="Q28" s="2577"/>
      <c r="R28" s="1569"/>
      <c r="S28" s="1570"/>
      <c r="T28" s="1569"/>
      <c r="U28" s="1570"/>
      <c r="V28" s="1569"/>
      <c r="W28" s="1570"/>
      <c r="X28" s="1571"/>
      <c r="Y28" s="3402"/>
      <c r="Z28" s="2574"/>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2"/>
      <c r="Z29" s="1576" t="str">
        <f t="shared" ref="Z29:Z42" si="13">Q29</f>
        <v>临街状况</v>
      </c>
      <c r="AA29" s="1577">
        <f t="shared" si="3"/>
        <v>1</v>
      </c>
      <c r="AB29" s="1577">
        <f t="shared" si="4"/>
        <v>1</v>
      </c>
      <c r="AC29" s="1577">
        <f t="shared" si="5"/>
        <v>1</v>
      </c>
    </row>
    <row r="30" spans="1:29" ht="27">
      <c r="A30" s="532"/>
      <c r="B30" s="922" t="s">
        <v>547</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2"/>
      <c r="Q30" s="1573" t="str">
        <f t="shared" si="8"/>
        <v>毗邻道路的类型与等级</v>
      </c>
      <c r="R30" s="1574" t="s">
        <v>8</v>
      </c>
      <c r="S30" s="1575">
        <f t="shared" si="10"/>
        <v>100</v>
      </c>
      <c r="T30" s="1574" t="s">
        <v>8</v>
      </c>
      <c r="U30" s="1575">
        <f t="shared" si="11"/>
        <v>100</v>
      </c>
      <c r="V30" s="1574" t="s">
        <v>8</v>
      </c>
      <c r="W30" s="1575">
        <f t="shared" si="12"/>
        <v>100</v>
      </c>
      <c r="X30" s="1568"/>
      <c r="Y30" s="340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2"/>
      <c r="Q31" s="1573"/>
      <c r="R31" s="1574"/>
      <c r="S31" s="1575"/>
      <c r="T31" s="1574"/>
      <c r="U31" s="1575"/>
      <c r="V31" s="1574"/>
      <c r="W31" s="1575"/>
      <c r="X31" s="1568"/>
      <c r="Y31" s="3402"/>
      <c r="Z31" s="1576"/>
      <c r="AA31" s="1577">
        <v>1</v>
      </c>
      <c r="AB31" s="1577">
        <v>1</v>
      </c>
      <c r="AC31" s="1577">
        <v>1</v>
      </c>
    </row>
    <row r="32" spans="1:29" ht="15">
      <c r="A32" s="532"/>
      <c r="B32" s="527" t="s">
        <v>548</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2"/>
      <c r="Q32" s="1573" t="str">
        <f t="shared" si="8"/>
        <v>土地级别</v>
      </c>
      <c r="R32" s="1574" t="s">
        <v>8</v>
      </c>
      <c r="S32" s="1575">
        <f t="shared" si="10"/>
        <v>100</v>
      </c>
      <c r="T32" s="1574" t="s">
        <v>8</v>
      </c>
      <c r="U32" s="1575">
        <f t="shared" si="11"/>
        <v>100</v>
      </c>
      <c r="V32" s="1574" t="s">
        <v>8</v>
      </c>
      <c r="W32" s="1575">
        <f t="shared" si="12"/>
        <v>100</v>
      </c>
      <c r="X32" s="1568"/>
      <c r="Y32" s="340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2"/>
      <c r="Q33" s="1573">
        <f t="shared" si="8"/>
        <v>111</v>
      </c>
      <c r="R33" s="1574" t="s">
        <v>8</v>
      </c>
      <c r="S33" s="1575">
        <f t="shared" si="10"/>
        <v>100</v>
      </c>
      <c r="T33" s="1574" t="s">
        <v>8</v>
      </c>
      <c r="U33" s="1575">
        <f t="shared" si="11"/>
        <v>100</v>
      </c>
      <c r="V33" s="1574" t="s">
        <v>8</v>
      </c>
      <c r="W33" s="1575">
        <f t="shared" si="12"/>
        <v>100</v>
      </c>
      <c r="X33" s="1568"/>
      <c r="Y33" s="340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3" t="s">
        <v>549</v>
      </c>
      <c r="Q34" s="1573">
        <f t="shared" si="8"/>
        <v>111</v>
      </c>
      <c r="R34" s="1574" t="s">
        <v>8</v>
      </c>
      <c r="S34" s="1575">
        <f t="shared" si="10"/>
        <v>100</v>
      </c>
      <c r="T34" s="1574" t="s">
        <v>8</v>
      </c>
      <c r="U34" s="1575">
        <f t="shared" si="11"/>
        <v>100</v>
      </c>
      <c r="V34" s="1574" t="s">
        <v>8</v>
      </c>
      <c r="W34" s="1575">
        <f t="shared" si="12"/>
        <v>100</v>
      </c>
      <c r="X34" s="1568"/>
      <c r="Y34" s="3404" t="s">
        <v>549</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4"/>
      <c r="Q35" s="1573">
        <f t="shared" si="8"/>
        <v>111</v>
      </c>
      <c r="R35" s="1578" t="s">
        <v>8</v>
      </c>
      <c r="S35" s="1579">
        <f t="shared" si="10"/>
        <v>100</v>
      </c>
      <c r="T35" s="1578" t="s">
        <v>8</v>
      </c>
      <c r="U35" s="1579">
        <f t="shared" si="11"/>
        <v>100</v>
      </c>
      <c r="V35" s="1578" t="s">
        <v>8</v>
      </c>
      <c r="W35" s="1579">
        <f t="shared" si="12"/>
        <v>100</v>
      </c>
      <c r="X35" s="1580"/>
      <c r="Y35" s="3404"/>
      <c r="Z35" s="1581">
        <f t="shared" si="13"/>
        <v>111</v>
      </c>
      <c r="AA35" s="1577">
        <f t="shared" si="3"/>
        <v>1</v>
      </c>
      <c r="AB35" s="1577">
        <f t="shared" si="4"/>
        <v>1</v>
      </c>
      <c r="AC35" s="1577">
        <f t="shared" si="5"/>
        <v>1</v>
      </c>
    </row>
    <row r="36" spans="1:29" ht="15">
      <c r="A36" s="2906"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4"/>
      <c r="Q36" s="1573" t="str">
        <f>B36</f>
        <v>宗地面积</v>
      </c>
      <c r="R36" s="1574" t="s">
        <v>8</v>
      </c>
      <c r="S36" s="1575" t="e">
        <f t="shared" si="10"/>
        <v>#N/A</v>
      </c>
      <c r="T36" s="1574" t="s">
        <v>8</v>
      </c>
      <c r="U36" s="1575" t="e">
        <f t="shared" si="11"/>
        <v>#N/A</v>
      </c>
      <c r="V36" s="1574" t="s">
        <v>8</v>
      </c>
      <c r="W36" s="1575" t="e">
        <f t="shared" si="12"/>
        <v>#N/A</v>
      </c>
      <c r="X36" s="1568"/>
      <c r="Y36" s="3404"/>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4"/>
      <c r="Q37" s="1573" t="str">
        <f t="shared" ref="Q37:Q42" si="14">B37</f>
        <v>宗地形状</v>
      </c>
      <c r="R37" s="1574" t="s">
        <v>8</v>
      </c>
      <c r="S37" s="1575">
        <f t="shared" si="10"/>
        <v>100</v>
      </c>
      <c r="T37" s="1574" t="s">
        <v>8</v>
      </c>
      <c r="U37" s="1575">
        <f t="shared" si="11"/>
        <v>100</v>
      </c>
      <c r="V37" s="1574" t="s">
        <v>8</v>
      </c>
      <c r="W37" s="1575">
        <f t="shared" si="12"/>
        <v>100</v>
      </c>
      <c r="X37" s="1568"/>
      <c r="Y37" s="3404"/>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4"/>
      <c r="Q38" s="1573" t="str">
        <f t="shared" si="14"/>
        <v>宗地开发程度</v>
      </c>
      <c r="R38" s="1569" t="s">
        <v>8</v>
      </c>
      <c r="S38" s="1570">
        <f t="shared" si="10"/>
        <v>100</v>
      </c>
      <c r="T38" s="1569" t="s">
        <v>8</v>
      </c>
      <c r="U38" s="1570">
        <f t="shared" si="11"/>
        <v>100</v>
      </c>
      <c r="V38" s="1569" t="s">
        <v>8</v>
      </c>
      <c r="W38" s="1570">
        <f t="shared" si="12"/>
        <v>100</v>
      </c>
      <c r="X38" s="1571"/>
      <c r="Y38" s="3404"/>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4" t="s">
        <v>600</v>
      </c>
      <c r="Q39" s="1573" t="str">
        <f t="shared" si="14"/>
        <v>工程地质条件</v>
      </c>
      <c r="R39" s="1574" t="s">
        <v>8</v>
      </c>
      <c r="S39" s="1575">
        <f t="shared" si="10"/>
        <v>100</v>
      </c>
      <c r="T39" s="1574" t="s">
        <v>8</v>
      </c>
      <c r="U39" s="1575">
        <f t="shared" si="11"/>
        <v>100</v>
      </c>
      <c r="V39" s="1574" t="s">
        <v>8</v>
      </c>
      <c r="W39" s="1575">
        <f t="shared" si="12"/>
        <v>100</v>
      </c>
      <c r="X39" s="1568"/>
      <c r="Y39" s="3404"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4"/>
      <c r="Q40" s="1573">
        <f t="shared" si="14"/>
        <v>111</v>
      </c>
      <c r="R40" s="1574" t="s">
        <v>8</v>
      </c>
      <c r="S40" s="1575">
        <f t="shared" si="10"/>
        <v>100</v>
      </c>
      <c r="T40" s="1574" t="s">
        <v>8</v>
      </c>
      <c r="U40" s="1575">
        <f t="shared" si="11"/>
        <v>100</v>
      </c>
      <c r="V40" s="1574" t="s">
        <v>8</v>
      </c>
      <c r="W40" s="1575">
        <f t="shared" si="12"/>
        <v>100</v>
      </c>
      <c r="X40" s="1568"/>
      <c r="Y40" s="340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4"/>
      <c r="Q41" s="1573">
        <f t="shared" si="14"/>
        <v>111</v>
      </c>
      <c r="R41" s="1574" t="s">
        <v>8</v>
      </c>
      <c r="S41" s="1575">
        <f t="shared" si="10"/>
        <v>100</v>
      </c>
      <c r="T41" s="1574" t="s">
        <v>8</v>
      </c>
      <c r="U41" s="1575">
        <f t="shared" si="11"/>
        <v>100</v>
      </c>
      <c r="V41" s="1574" t="s">
        <v>8</v>
      </c>
      <c r="W41" s="1575">
        <f t="shared" si="12"/>
        <v>100</v>
      </c>
      <c r="X41" s="1568"/>
      <c r="Y41" s="340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4"/>
      <c r="Q42" s="1573">
        <f t="shared" si="14"/>
        <v>111</v>
      </c>
      <c r="R42" s="1578" t="s">
        <v>8</v>
      </c>
      <c r="S42" s="1579">
        <f t="shared" si="10"/>
        <v>100</v>
      </c>
      <c r="T42" s="1578" t="s">
        <v>8</v>
      </c>
      <c r="U42" s="1579">
        <f t="shared" si="11"/>
        <v>100</v>
      </c>
      <c r="V42" s="1578" t="s">
        <v>8</v>
      </c>
      <c r="W42" s="1579">
        <f t="shared" si="12"/>
        <v>100</v>
      </c>
      <c r="X42" s="1580"/>
      <c r="Y42" s="3404"/>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5"/>
      <c r="M43" s="2135"/>
      <c r="N43" s="2135"/>
      <c r="O43" s="2146"/>
      <c r="P43" s="3367" t="str">
        <f>A43</f>
        <v>成交单价</v>
      </c>
      <c r="Q43" s="3367"/>
      <c r="R43" s="3368">
        <f>E43</f>
        <v>0</v>
      </c>
      <c r="S43" s="3368"/>
      <c r="T43" s="3368">
        <f>G43</f>
        <v>0</v>
      </c>
      <c r="U43" s="3368"/>
      <c r="V43" s="3368">
        <f>I43</f>
        <v>0</v>
      </c>
      <c r="W43" s="3368"/>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67" t="str">
        <f>A44</f>
        <v>比较价格（元/平方米）</v>
      </c>
      <c r="Q44" s="3367"/>
      <c r="R44" s="3369" t="e">
        <f>ROUND(PRODUCT(R43,AA9:AA42),0)</f>
        <v>#DIV/0!</v>
      </c>
      <c r="S44" s="3369"/>
      <c r="T44" s="3369" t="e">
        <f>ROUND(PRODUCT(T43,AB9:AB42),0)</f>
        <v>#DIV/0!</v>
      </c>
      <c r="U44" s="3369"/>
      <c r="V44" s="3369" t="e">
        <f>ROUND(PRODUCT(V43,AC9:AC42),0)</f>
        <v>#DIV/0!</v>
      </c>
      <c r="W44" s="3369"/>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364" t="str">
        <f>A45</f>
        <v>估价对象XX用房的比较价格（楼面单价，元/平方米）</v>
      </c>
      <c r="Q45" s="3365"/>
      <c r="R45" s="3366" t="e">
        <f>ROUND(AVERAGE(R44:V44),0)</f>
        <v>#DIV/0!</v>
      </c>
      <c r="S45" s="3366"/>
      <c r="T45" s="3366"/>
      <c r="U45" s="3366"/>
      <c r="V45" s="3366"/>
      <c r="W45" s="336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1" t="s">
        <v>1724</v>
      </c>
      <c r="D52" s="2228" t="s">
        <v>2294</v>
      </c>
      <c r="E52" s="631" t="s">
        <v>561</v>
      </c>
      <c r="F52" s="1952" t="s">
        <v>562</v>
      </c>
      <c r="G52" s="3411" t="s">
        <v>2285</v>
      </c>
      <c r="H52" s="3412"/>
      <c r="I52" s="1953" t="s">
        <v>1947</v>
      </c>
      <c r="J52" s="1556" t="str">
        <f>项目基本情况!F41</f>
        <v>山东省高密市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782672.8</v>
      </c>
      <c r="F53" s="1951" t="e">
        <f t="shared" ref="F53:F62" si="15">ROUND(B53*E53/10000,0)</f>
        <v>#DIV/0!</v>
      </c>
      <c r="G53" s="3413"/>
      <c r="H53" s="341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15"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1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1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1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2295</v>
      </c>
      <c r="E63" s="643">
        <f>IF(B43="楼面地价",SUM(E53:E62),'数据-汇总表'!D3)</f>
        <v>279526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573</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7" t="s">
        <v>2648</v>
      </c>
      <c r="B68" s="479" t="str">
        <f>"北京市平均增长率"&amp;TEXT(基准地价!P24,"0.00%")</f>
        <v>北京市平均增长率0.00%</v>
      </c>
      <c r="C68" s="894">
        <v>100</v>
      </c>
      <c r="D68" s="730"/>
      <c r="E68" s="730"/>
      <c r="F68" s="730"/>
      <c r="G68" s="730"/>
      <c r="H68" s="730"/>
      <c r="I68" s="730"/>
      <c r="J68" s="730"/>
      <c r="K68" s="730"/>
      <c r="L68" s="730"/>
      <c r="M68" s="2791"/>
      <c r="N68" s="2792"/>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89"/>
      <c r="D69" s="2790"/>
      <c r="E69" s="2790"/>
      <c r="F69" s="2790"/>
      <c r="G69" s="2790"/>
      <c r="H69" s="2790"/>
      <c r="I69" s="2790"/>
      <c r="J69" s="2790"/>
      <c r="K69" s="2790"/>
      <c r="L69" s="2790"/>
      <c r="M69" s="2790"/>
      <c r="N69" s="2790"/>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6" t="s">
        <v>2549</v>
      </c>
      <c r="C95" s="2597" t="s">
        <v>2550</v>
      </c>
      <c r="D95" s="2597" t="s">
        <v>2551</v>
      </c>
      <c r="E95" s="2597" t="s">
        <v>2552</v>
      </c>
      <c r="F95" s="2597" t="s">
        <v>2553</v>
      </c>
      <c r="G95" s="2597"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1"/>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35" t="s">
        <v>2761</v>
      </c>
      <c r="S1" s="2935" t="s">
        <v>2762</v>
      </c>
      <c r="T1" s="2935" t="s">
        <v>2783</v>
      </c>
      <c r="U1" s="2935" t="s">
        <v>2784</v>
      </c>
      <c r="V1" s="2935" t="s">
        <v>2785</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2.8</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90"/>
      <c r="P3" s="2190"/>
      <c r="Q3" s="2190"/>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90"/>
      <c r="X3" s="2190"/>
      <c r="Y3" s="2190"/>
      <c r="Z3" s="2190"/>
      <c r="AA3" s="2190"/>
      <c r="AB3" s="2190"/>
      <c r="AC3" s="2191"/>
    </row>
    <row r="4" spans="1:39" ht="28.5">
      <c r="A4" s="1892" t="s">
        <v>2281</v>
      </c>
      <c r="B4" s="2452"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36">
        <v>3</v>
      </c>
      <c r="S4" s="2936">
        <f>ROUND(IF(G3&gt;1,IF(R4&lt;7,SUMPRODUCT((B93:B98=R4)*(C92:N92=G2)*(C93:N98)),SUMIF(C92:N92,G2,C100:N100)),IF(R4&lt;7,SUMPRODUCT((B102:B107=R4)*(C92:N92=G2)*(C102:N107)),SUMIF(C92:N92,G2,C109:N109))),4)</f>
        <v>0</v>
      </c>
      <c r="T4" s="2936" t="e">
        <f t="shared" si="0"/>
        <v>#DIV/0!</v>
      </c>
      <c r="U4" s="2925"/>
      <c r="V4" s="2936"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36">
        <v>4</v>
      </c>
      <c r="S5" s="2936">
        <f>ROUND(IF(G3&gt;1,IF(R5&lt;7,SUMPRODUCT((B93:B98=R5)*(C92:N92=G2)*(C93:N98)),SUMIF(C92:N92,G2,C100:N100)),IF(R5&lt;7,SUMPRODUCT((B102:B107=R5)*(C92:N92=G2)*(C102:N107)),SUMIF(C92:N92,G2,C109:N109))),4)</f>
        <v>0</v>
      </c>
      <c r="T5" s="2936" t="e">
        <f t="shared" si="0"/>
        <v>#DIV/0!</v>
      </c>
      <c r="U5" s="2925"/>
      <c r="V5" s="293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36">
        <v>5</v>
      </c>
      <c r="S6" s="2936">
        <f>ROUND(IF(G3&gt;1,IF(R6&lt;7,SUMPRODUCT((B93:B98=R6)*(C92:N92=G2)*(C93:N98)),SUMIF(C92:N92,G2,C100:N100)),IF(R6&lt;7,SUMPRODUCT((B102:B107=R6)*(C92:N92=G2)*(C102:N107)),SUMIF(C92:N92,G2,C109:N109))),4)</f>
        <v>0</v>
      </c>
      <c r="T6" s="2936" t="e">
        <f t="shared" si="0"/>
        <v>#DIV/0!</v>
      </c>
      <c r="U6" s="2925"/>
      <c r="V6" s="2936" t="e">
        <f t="shared" si="1"/>
        <v>#DIV/0!</v>
      </c>
      <c r="W6" s="2190"/>
      <c r="X6" s="2190"/>
      <c r="Y6" s="2190"/>
      <c r="Z6" s="2190"/>
      <c r="AA6" s="2190"/>
      <c r="AB6" s="2190"/>
      <c r="AC6" s="2192"/>
      <c r="AD6" s="1420"/>
      <c r="AE6" s="1420"/>
      <c r="AF6" s="1420"/>
      <c r="AG6" s="1420"/>
      <c r="AH6" s="1420"/>
      <c r="AI6" s="1420"/>
      <c r="AJ6" s="1421"/>
    </row>
    <row r="7" spans="1:39" ht="24">
      <c r="A7" s="3425"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2.8</v>
      </c>
      <c r="AA7" s="2193"/>
      <c r="AB7" s="2193"/>
      <c r="AC7" s="2194"/>
      <c r="AD7" s="2928"/>
      <c r="AE7" s="2928"/>
      <c r="AF7" s="2928"/>
      <c r="AG7" s="2928"/>
      <c r="AH7" s="2928"/>
      <c r="AI7" s="2928"/>
      <c r="AJ7" s="2929"/>
    </row>
    <row r="8" spans="1:39" ht="15">
      <c r="A8" s="3426"/>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36">
        <v>7</v>
      </c>
      <c r="S8" s="2925"/>
      <c r="T8" s="2936" t="e">
        <f t="shared" si="0"/>
        <v>#DIV/0!</v>
      </c>
      <c r="U8" s="2925"/>
      <c r="V8" s="2936" t="e">
        <f t="shared" si="1"/>
        <v>#DIV/0!</v>
      </c>
      <c r="W8" s="3417" t="s">
        <v>2782</v>
      </c>
      <c r="X8" s="3418"/>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6"/>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36">
        <v>8</v>
      </c>
      <c r="S9" s="2925"/>
      <c r="T9" s="2936" t="e">
        <f t="shared" si="0"/>
        <v>#DIV/0!</v>
      </c>
      <c r="U9" s="2925"/>
      <c r="V9" s="2936" t="e">
        <f t="shared" si="1"/>
        <v>#DIV/0!</v>
      </c>
      <c r="W9" s="3416" t="s">
        <v>2778</v>
      </c>
      <c r="X9" s="2930" t="s">
        <v>2779</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6"/>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36">
        <v>9</v>
      </c>
      <c r="S10" s="2925"/>
      <c r="T10" s="2936" t="e">
        <f t="shared" si="0"/>
        <v>#DIV/0!</v>
      </c>
      <c r="U10" s="2925"/>
      <c r="V10" s="2936" t="e">
        <f t="shared" si="1"/>
        <v>#DIV/0!</v>
      </c>
      <c r="W10" s="341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6"/>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36">
        <v>10</v>
      </c>
      <c r="S11" s="2925"/>
      <c r="T11" s="2936" t="e">
        <f t="shared" si="0"/>
        <v>#DIV/0!</v>
      </c>
      <c r="U11" s="2925"/>
      <c r="V11" s="2936" t="e">
        <f t="shared" si="1"/>
        <v>#DIV/0!</v>
      </c>
      <c r="W11" s="3416" t="s">
        <v>2780</v>
      </c>
      <c r="X11" s="1048" t="s">
        <v>2765</v>
      </c>
      <c r="Y11" s="1654">
        <f>$G$3</f>
        <v>2.8</v>
      </c>
      <c r="Z11" s="1654">
        <f t="shared" ref="Z11:AJ11" si="3">$G$3</f>
        <v>2.8</v>
      </c>
      <c r="AA11" s="1654">
        <f t="shared" si="3"/>
        <v>2.8</v>
      </c>
      <c r="AB11" s="1654">
        <f t="shared" si="3"/>
        <v>2.8</v>
      </c>
      <c r="AC11" s="1654">
        <f t="shared" si="3"/>
        <v>2.8</v>
      </c>
      <c r="AD11" s="1654">
        <f t="shared" si="3"/>
        <v>2.8</v>
      </c>
      <c r="AE11" s="1654">
        <f t="shared" si="3"/>
        <v>2.8</v>
      </c>
      <c r="AF11" s="1654">
        <f t="shared" si="3"/>
        <v>2.8</v>
      </c>
      <c r="AG11" s="1654">
        <f t="shared" si="3"/>
        <v>2.8</v>
      </c>
      <c r="AH11" s="1654">
        <f t="shared" si="3"/>
        <v>2.8</v>
      </c>
      <c r="AI11" s="1654">
        <f t="shared" si="3"/>
        <v>2.8</v>
      </c>
      <c r="AJ11" s="1654">
        <f t="shared" si="3"/>
        <v>2.8</v>
      </c>
    </row>
    <row r="12" spans="1:39" ht="25.5" thickBot="1">
      <c r="A12" s="3425"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36">
        <v>11</v>
      </c>
      <c r="S12" s="2925"/>
      <c r="T12" s="2936" t="e">
        <f t="shared" si="0"/>
        <v>#DIV/0!</v>
      </c>
      <c r="U12" s="2925"/>
      <c r="V12" s="2936" t="e">
        <f t="shared" si="1"/>
        <v>#DIV/0!</v>
      </c>
      <c r="W12" s="3416"/>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7"/>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6">
        <v>12</v>
      </c>
      <c r="S13" s="2925"/>
      <c r="T13" s="2936" t="e">
        <f t="shared" si="0"/>
        <v>#DIV/0!</v>
      </c>
      <c r="U13" s="2925"/>
      <c r="V13" s="2936" t="e">
        <f t="shared" si="1"/>
        <v>#DIV/0!</v>
      </c>
      <c r="W13" s="3416"/>
      <c r="X13" s="2933"/>
      <c r="Y13" s="2932">
        <f>(-0.163*(Y12^2)-0.59*Y12+7617)*(10^(-4))/Y11</f>
        <v>0.27203571428571433</v>
      </c>
      <c r="Z13" s="2932">
        <f t="shared" ref="Z13:AJ13" si="5">(-0.163*(Z12^2)-0.59*Z12+7617)*(10^(-4))/Z11</f>
        <v>0.27203571428571433</v>
      </c>
      <c r="AA13" s="2932">
        <f t="shared" si="5"/>
        <v>0.27203571428571433</v>
      </c>
      <c r="AB13" s="2932">
        <f t="shared" si="5"/>
        <v>0.27203571428571433</v>
      </c>
      <c r="AC13" s="2932">
        <f t="shared" si="5"/>
        <v>0.27203571428571433</v>
      </c>
      <c r="AD13" s="2932">
        <f t="shared" si="5"/>
        <v>0.27203571428571433</v>
      </c>
      <c r="AE13" s="2932">
        <f t="shared" si="5"/>
        <v>0.27203571428571433</v>
      </c>
      <c r="AF13" s="2932">
        <f t="shared" si="5"/>
        <v>0.27203571428571433</v>
      </c>
      <c r="AG13" s="2932">
        <f t="shared" si="5"/>
        <v>0.27203571428571433</v>
      </c>
      <c r="AH13" s="2932">
        <f t="shared" si="5"/>
        <v>0.27203571428571433</v>
      </c>
      <c r="AI13" s="2932">
        <f t="shared" si="5"/>
        <v>0.27203571428571433</v>
      </c>
      <c r="AJ13" s="2932">
        <f t="shared" si="5"/>
        <v>0.27203571428571433</v>
      </c>
    </row>
    <row r="14" spans="1:39" ht="12.75" customHeight="1" thickBot="1">
      <c r="A14" s="3427"/>
      <c r="B14" s="1452"/>
      <c r="C14" s="1453"/>
      <c r="D14" s="1454"/>
      <c r="E14" s="1454"/>
      <c r="F14" s="1455"/>
      <c r="G14" s="1456" t="s">
        <v>948</v>
      </c>
      <c r="H14" s="1457"/>
      <c r="I14" s="1458"/>
      <c r="J14" s="1459"/>
      <c r="K14" s="1402"/>
      <c r="L14" s="2190"/>
      <c r="M14" s="2190"/>
      <c r="N14" s="2190"/>
      <c r="O14" s="2190"/>
      <c r="P14" s="2190"/>
      <c r="Q14" s="2190"/>
      <c r="R14" s="2936">
        <v>13</v>
      </c>
      <c r="S14" s="2925"/>
      <c r="T14" s="2936" t="e">
        <f t="shared" si="0"/>
        <v>#DIV/0!</v>
      </c>
      <c r="U14" s="2925"/>
      <c r="V14" s="2936" t="e">
        <f t="shared" si="1"/>
        <v>#DIV/0!</v>
      </c>
      <c r="W14" s="2190"/>
      <c r="X14" s="2190"/>
      <c r="Y14" s="2190"/>
      <c r="Z14" s="2190"/>
      <c r="AA14" s="2190"/>
      <c r="AB14" s="2190"/>
      <c r="AC14" s="2191"/>
    </row>
    <row r="15" spans="1:39" ht="13.5" customHeight="1" thickBot="1">
      <c r="A15" s="3428"/>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6">
        <v>14</v>
      </c>
      <c r="S15" s="2925"/>
      <c r="T15" s="2936" t="e">
        <f t="shared" si="0"/>
        <v>#DIV/0!</v>
      </c>
      <c r="U15" s="2925"/>
      <c r="V15" s="2936" t="e">
        <f t="shared" si="1"/>
        <v>#DIV/0!</v>
      </c>
      <c r="W15" s="2190"/>
      <c r="X15" s="2190"/>
      <c r="Y15" s="2190"/>
      <c r="Z15" s="2190"/>
      <c r="AA15" s="2190"/>
      <c r="AB15" s="2190"/>
      <c r="AC15" s="2191"/>
    </row>
    <row r="16" spans="1:39" ht="24">
      <c r="A16" s="3425"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6">
        <v>15</v>
      </c>
      <c r="S16" s="2925"/>
      <c r="T16" s="2936" t="e">
        <f t="shared" si="0"/>
        <v>#DIV/0!</v>
      </c>
      <c r="U16" s="2925"/>
      <c r="V16" s="2936" t="e">
        <f t="shared" si="1"/>
        <v>#DIV/0!</v>
      </c>
      <c r="W16" s="2193"/>
      <c r="X16" s="2193"/>
      <c r="Y16" s="2193"/>
      <c r="Z16" s="2193"/>
      <c r="AA16" s="2193"/>
      <c r="AB16" s="2193"/>
      <c r="AC16" s="2194"/>
    </row>
    <row r="17" spans="1:40" ht="13.5" thickBot="1">
      <c r="A17" s="3426"/>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43426</v>
      </c>
      <c r="H19" s="1476" t="s">
        <v>2935</v>
      </c>
      <c r="I19" s="2783" t="str">
        <f>IF(H19="季度增幅（自定义）",SUMIF(N21:N24,E2,O21:O24),"")</f>
        <v/>
      </c>
      <c r="J19" s="1472"/>
      <c r="K19" s="1482"/>
      <c r="L19" s="3039" t="s">
        <v>2840</v>
      </c>
      <c r="M19" s="3040">
        <f>ROUND(SUMIF(地价!B2:F2,E2,地价!B23:F23),0)</f>
        <v>0</v>
      </c>
      <c r="N19" s="2785" t="s">
        <v>1676</v>
      </c>
      <c r="O19" s="2784">
        <f>ROUNDDOWN(DATEDIF(E19,G19,"M")/3,0)</f>
        <v>19</v>
      </c>
      <c r="P19" s="1597"/>
      <c r="R19" s="2924"/>
      <c r="S19" s="2924"/>
      <c r="T19" s="2924"/>
      <c r="U19" s="2924"/>
      <c r="V19" s="292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5">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2841</v>
      </c>
      <c r="M20" s="3042">
        <f>ROUND(SUMPRODUCT((地价!A4:A23=YEAR(G19)&amp;"-"&amp;ROUNDUP(MONTH(G19)/3,0))*(地价!B2:F2=E2)*(地价!B4:F23)),0)</f>
        <v>0</v>
      </c>
      <c r="N20" s="2788" t="s">
        <v>2644</v>
      </c>
      <c r="O20" s="2786" t="s">
        <v>2643</v>
      </c>
      <c r="P20" s="2787" t="s">
        <v>2649</v>
      </c>
      <c r="R20" s="2924"/>
      <c r="S20" s="2924"/>
      <c r="T20" s="2924"/>
      <c r="U20" s="2924"/>
      <c r="V20" s="2924"/>
      <c r="W20" s="2196"/>
      <c r="X20" s="2196"/>
      <c r="Y20" s="2196"/>
      <c r="Z20" s="2196"/>
      <c r="AA20" s="2196"/>
      <c r="AB20" s="2196"/>
      <c r="AC20" s="2196"/>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8">
        <f>SUMPRODUCT((地价!A3:A23=YEAR(G19)&amp;"-"&amp;ROUNDUP(MONTH(G19)/3,0))*(地价!AD2:AH2=N21)*(地价!AD3:AH23))</f>
        <v>0</v>
      </c>
      <c r="R21" s="2924"/>
      <c r="S21" s="2924"/>
      <c r="T21" s="2924"/>
      <c r="U21" s="2924"/>
      <c r="V21" s="2924"/>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SUMPRODUCT((地价!A3:A23=YEAR(G19)&amp;"-"&amp;ROUNDUP(MONTH(G19)/3,0))*(地价!AD2:AH2=N22)*(地价!AD3:AH23))</f>
        <v>0</v>
      </c>
      <c r="R22" s="2924"/>
      <c r="S22" s="2924"/>
      <c r="T22" s="2924"/>
      <c r="U22" s="2924"/>
      <c r="V22" s="2924"/>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SUMPRODUCT((地价!A3:A23=YEAR(G19)&amp;"-"&amp;ROUNDUP(MONTH(G19)/3,0))*(地价!AD2:AH2=N23)*(地价!AD3:AH23))</f>
        <v>0</v>
      </c>
      <c r="R23" s="2924"/>
      <c r="S23" s="2924"/>
      <c r="T23" s="2924"/>
      <c r="U23" s="2924"/>
      <c r="V23" s="2924"/>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4"/>
      <c r="S24" s="2924"/>
      <c r="T24" s="2924"/>
      <c r="U24" s="2924"/>
      <c r="V24" s="2924"/>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6" t="s">
        <v>2647</v>
      </c>
      <c r="O25" s="2196"/>
      <c r="P25" s="1542">
        <f>SUMPRODUCT((地价!A3:A23=YEAR(G19)&amp;"-"&amp;ROUNDUP(MONTH(G19)/3,0))*(地价!AD2:AH2=N25)*(地价!AD3:AH23))</f>
        <v>0</v>
      </c>
      <c r="R25" s="2924"/>
      <c r="S25" s="2924"/>
      <c r="T25" s="2924"/>
      <c r="U25" s="2924"/>
      <c r="V25" s="2924"/>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4"/>
      <c r="S26" s="2924"/>
      <c r="T26" s="2924"/>
      <c r="U26" s="2924"/>
      <c r="V26" s="2924"/>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4"/>
      <c r="S27" s="2924"/>
      <c r="T27" s="2924"/>
      <c r="U27" s="2924"/>
      <c r="V27" s="2924"/>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4"/>
      <c r="S28" s="2924"/>
      <c r="T28" s="2924"/>
      <c r="U28" s="2924"/>
      <c r="V28" s="2924"/>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4"/>
      <c r="S29" s="2924"/>
      <c r="T29" s="2924"/>
      <c r="U29" s="2924"/>
      <c r="V29" s="2924"/>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1"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2"/>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2"/>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3"/>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2251</v>
      </c>
      <c r="G46" s="2430" t="s">
        <v>1014</v>
      </c>
      <c r="H46" s="2413" t="s">
        <v>2417</v>
      </c>
      <c r="I46" s="2430" t="s">
        <v>1012</v>
      </c>
      <c r="J46" s="2433" t="s">
        <v>1015</v>
      </c>
      <c r="K46" s="2433" t="s">
        <v>1016</v>
      </c>
      <c r="L46" s="2433" t="s">
        <v>1017</v>
      </c>
      <c r="M46" s="2433" t="s">
        <v>1018</v>
      </c>
      <c r="N46" s="243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7" t="s">
        <v>2937</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6" t="s">
        <v>2936</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2252</v>
      </c>
      <c r="G57" s="2430" t="s">
        <v>1014</v>
      </c>
      <c r="H57" s="2413" t="s">
        <v>2417</v>
      </c>
      <c r="I57" s="2430" t="s">
        <v>1012</v>
      </c>
      <c r="J57" s="2433" t="s">
        <v>1015</v>
      </c>
      <c r="K57" s="2433" t="s">
        <v>1016</v>
      </c>
      <c r="L57" s="2433" t="s">
        <v>1017</v>
      </c>
      <c r="M57" s="2433" t="s">
        <v>1018</v>
      </c>
      <c r="N57" s="243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7" t="s">
        <v>2938</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6" t="s">
        <v>2936</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2253</v>
      </c>
      <c r="G68" s="2430" t="s">
        <v>1014</v>
      </c>
      <c r="H68" s="2413" t="s">
        <v>2417</v>
      </c>
      <c r="I68" s="2430" t="s">
        <v>1012</v>
      </c>
      <c r="J68" s="2433" t="s">
        <v>1015</v>
      </c>
      <c r="K68" s="2433" t="s">
        <v>1016</v>
      </c>
      <c r="L68" s="2433" t="s">
        <v>1017</v>
      </c>
      <c r="M68" s="2433" t="s">
        <v>1018</v>
      </c>
      <c r="N68" s="243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6" t="s">
        <v>2936</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0" t="s">
        <v>1035</v>
      </c>
      <c r="B77" s="1851"/>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2254</v>
      </c>
      <c r="G79" s="2430" t="s">
        <v>1014</v>
      </c>
      <c r="H79" s="2413" t="s">
        <v>2417</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6" t="s">
        <v>2936</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9" t="s">
        <v>1633</v>
      </c>
      <c r="B90" s="3429"/>
      <c r="C90" s="3429"/>
      <c r="D90" s="3429"/>
      <c r="E90" s="3429"/>
      <c r="F90" s="3429"/>
      <c r="G90" s="3429"/>
      <c r="H90" s="3429"/>
      <c r="I90" s="3429"/>
      <c r="J90" s="3429"/>
      <c r="K90" s="2449"/>
      <c r="L90" s="2449"/>
      <c r="M90" s="2449"/>
      <c r="N90" s="2449"/>
    </row>
    <row r="91" spans="1:40">
      <c r="A91" s="3430" t="s">
        <v>1443</v>
      </c>
      <c r="B91" s="3430" t="s">
        <v>1634</v>
      </c>
      <c r="C91" s="1140" t="s">
        <v>1635</v>
      </c>
      <c r="D91" s="1141"/>
      <c r="E91" s="1141"/>
      <c r="F91" s="1141"/>
      <c r="G91" s="1141"/>
      <c r="H91" s="1141"/>
      <c r="I91" s="1141"/>
      <c r="J91" s="1142"/>
      <c r="K91" s="1134"/>
      <c r="L91" s="1134"/>
      <c r="M91" s="1134"/>
      <c r="N91" s="1134"/>
    </row>
    <row r="92" spans="1:40">
      <c r="A92" s="3430"/>
      <c r="B92" s="3430"/>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19"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9" t="s">
        <v>1637</v>
      </c>
      <c r="B101" s="1147" t="s">
        <v>905</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420"/>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420"/>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420"/>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420"/>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420"/>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420"/>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420"/>
      <c r="B108" s="342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1"/>
      <c r="B109" s="3423"/>
      <c r="C109" s="1146">
        <f>(-0.163*(C108^2)-0.59*C108+7617)*(10^(-4))/C101</f>
        <v>0.27149457142857142</v>
      </c>
      <c r="D109" s="1146">
        <f>(-0.163*(D108^2)-0.59*D108+7617)*(10^(-4))/D101</f>
        <v>0.27149457142857142</v>
      </c>
      <c r="E109" s="1146">
        <f>(-0.161*(E108^2)-7.509*E108+6533)*(10^(-4))/E101</f>
        <v>0.23080800000000001</v>
      </c>
      <c r="F109" s="1146">
        <f>(-0.161*(F108^2)-7.509*F108+6533)*(10^(-4))/F101</f>
        <v>0.23080800000000001</v>
      </c>
      <c r="G109" s="1146">
        <f>(-0.161*(G108^2)-7.509*G108+6533)*(10^(-4))/G101</f>
        <v>0.23080800000000001</v>
      </c>
      <c r="H109" s="1146">
        <f>(-0.161*(H108^2)-7.509*H108+6533)*(10^(-4))/H101</f>
        <v>0.23080800000000001</v>
      </c>
      <c r="I109" s="1146">
        <f>(-0.161*(I108^2)-7.509*I108+6533)*(10^(-4))/I101</f>
        <v>0.23080800000000001</v>
      </c>
      <c r="J109" s="1146">
        <f>(-0.214*(J108^2)-21.991*J108+4665)*(10^(-4))/J101</f>
        <v>0.15983485714285717</v>
      </c>
      <c r="K109" s="1146">
        <f>(-0.214*(K108^2)-21.991*K108+4665)*(10^(-4))/K101</f>
        <v>0.15983485714285717</v>
      </c>
      <c r="L109" s="1146">
        <f>(-0.214*(L108^2)-21.991*L108+4665)*(10^(-4))/L101</f>
        <v>0.15983485714285717</v>
      </c>
      <c r="M109" s="1146">
        <f>(-0.214*(M108^2)-21.991*M108+4665)*(10^(-4))/M101</f>
        <v>0.15983485714285717</v>
      </c>
      <c r="N109" s="1146">
        <f>(-0.214*(N108^2)-21.991*N108+4665)*(10^(-4))/N101</f>
        <v>0.15983485714285717</v>
      </c>
    </row>
    <row r="110" spans="1:14">
      <c r="A110" s="3424" t="s">
        <v>1639</v>
      </c>
      <c r="B110" s="3424"/>
      <c r="C110" s="3424"/>
      <c r="D110" s="3424"/>
      <c r="E110" s="3424"/>
      <c r="F110" s="3424"/>
      <c r="G110" s="3424"/>
      <c r="H110" s="3424"/>
      <c r="I110" s="3424"/>
      <c r="J110" s="3424"/>
      <c r="K110" s="2447"/>
      <c r="L110" s="2447"/>
      <c r="M110" s="2447"/>
      <c r="N110" s="2447"/>
    </row>
    <row r="112" spans="1:14" ht="12.75" thickBot="1"/>
    <row r="113" spans="1:13" ht="25.5" thickBot="1">
      <c r="A113" s="1016" t="s">
        <v>895</v>
      </c>
      <c r="B113" s="2450">
        <f>G3</f>
        <v>2.8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900</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901</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902</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0" t="s">
        <v>1007</v>
      </c>
      <c r="B18" s="1154" t="s">
        <v>1446</v>
      </c>
      <c r="C18" s="1131" t="s">
        <v>1447</v>
      </c>
      <c r="D18" s="1132"/>
      <c r="E18" s="1154">
        <v>1</v>
      </c>
      <c r="F18" s="1133" t="s">
        <v>1448</v>
      </c>
      <c r="G18" s="1134"/>
      <c r="H18" s="1105"/>
      <c r="I18" s="1105"/>
    </row>
    <row r="19" spans="1:9" s="1600" customFormat="1" ht="19.5" customHeight="1">
      <c r="A19" s="3430"/>
      <c r="B19" s="3430" t="s">
        <v>1449</v>
      </c>
      <c r="C19" s="1131" t="s">
        <v>1450</v>
      </c>
      <c r="D19" s="1132"/>
      <c r="E19" s="1154">
        <v>0.9</v>
      </c>
      <c r="F19" s="1133" t="s">
        <v>1451</v>
      </c>
      <c r="G19" s="1134"/>
      <c r="H19" s="1105"/>
      <c r="I19" s="1105"/>
    </row>
    <row r="20" spans="1:9" s="1600" customFormat="1" ht="19.5" customHeight="1">
      <c r="A20" s="3430"/>
      <c r="B20" s="3430"/>
      <c r="C20" s="1131" t="s">
        <v>1452</v>
      </c>
      <c r="D20" s="1132"/>
      <c r="E20" s="1154">
        <v>1.1000000000000001</v>
      </c>
      <c r="F20" s="1133" t="s">
        <v>1453</v>
      </c>
      <c r="G20" s="1134"/>
      <c r="H20" s="1105"/>
      <c r="I20" s="1105"/>
    </row>
    <row r="21" spans="1:9" s="1600" customFormat="1" ht="19.5" customHeight="1">
      <c r="A21" s="3430"/>
      <c r="B21" s="3430"/>
      <c r="C21" s="1131" t="s">
        <v>1454</v>
      </c>
      <c r="D21" s="1132"/>
      <c r="E21" s="1154">
        <v>0.8</v>
      </c>
      <c r="F21" s="1133" t="s">
        <v>1455</v>
      </c>
      <c r="G21" s="1134"/>
      <c r="H21" s="1105"/>
      <c r="I21" s="1105"/>
    </row>
    <row r="22" spans="1:9" s="1600" customFormat="1" ht="19.5" customHeight="1">
      <c r="A22" s="3430"/>
      <c r="B22" s="3430"/>
      <c r="C22" s="1131" t="s">
        <v>1456</v>
      </c>
      <c r="D22" s="1132"/>
      <c r="E22" s="1154">
        <v>0.5</v>
      </c>
      <c r="F22" s="1133"/>
      <c r="G22" s="1134"/>
      <c r="H22" s="1105"/>
      <c r="I22" s="1105"/>
    </row>
    <row r="23" spans="1:9" s="1600" customFormat="1" ht="19.5" customHeight="1">
      <c r="A23" s="3430" t="s">
        <v>1029</v>
      </c>
      <c r="B23" s="1154" t="s">
        <v>1446</v>
      </c>
      <c r="C23" s="1131" t="s">
        <v>1457</v>
      </c>
      <c r="D23" s="1132"/>
      <c r="E23" s="1154">
        <v>1</v>
      </c>
      <c r="F23" s="1133" t="s">
        <v>1458</v>
      </c>
      <c r="G23" s="1134"/>
      <c r="H23" s="1105"/>
      <c r="I23" s="1105"/>
    </row>
    <row r="24" spans="1:9" s="1600" customFormat="1" ht="19.5" customHeight="1">
      <c r="A24" s="3430"/>
      <c r="B24" s="3430" t="s">
        <v>1449</v>
      </c>
      <c r="C24" s="1131" t="s">
        <v>1459</v>
      </c>
      <c r="D24" s="1132"/>
      <c r="E24" s="1154">
        <v>0.5</v>
      </c>
      <c r="F24" s="1133"/>
      <c r="G24" s="1134"/>
      <c r="H24" s="1105"/>
      <c r="I24" s="1105"/>
    </row>
    <row r="25" spans="1:9" s="1600" customFormat="1" ht="19.5" customHeight="1">
      <c r="A25" s="3430"/>
      <c r="B25" s="3430"/>
      <c r="C25" s="1131" t="s">
        <v>1460</v>
      </c>
      <c r="D25" s="1132"/>
      <c r="E25" s="1154">
        <v>1.1000000000000001</v>
      </c>
      <c r="F25" s="1133"/>
      <c r="G25" s="1134"/>
      <c r="H25" s="1105"/>
      <c r="I25" s="1105"/>
    </row>
    <row r="26" spans="1:9" s="1600" customFormat="1" ht="19.5" customHeight="1">
      <c r="A26" s="3430"/>
      <c r="B26" s="3430"/>
      <c r="C26" s="1131" t="s">
        <v>1461</v>
      </c>
      <c r="D26" s="1132"/>
      <c r="E26" s="1154">
        <v>1.1000000000000001</v>
      </c>
      <c r="F26" s="1133"/>
      <c r="G26" s="1134"/>
      <c r="H26" s="1105"/>
      <c r="I26" s="1105"/>
    </row>
    <row r="27" spans="1:9" s="1600" customFormat="1" ht="19.5" customHeight="1">
      <c r="A27" s="3430"/>
      <c r="B27" s="3430"/>
      <c r="C27" s="1131" t="s">
        <v>1462</v>
      </c>
      <c r="D27" s="1132"/>
      <c r="E27" s="1154">
        <v>0.9</v>
      </c>
      <c r="F27" s="1133" t="s">
        <v>1463</v>
      </c>
      <c r="G27" s="1134"/>
      <c r="H27" s="1105"/>
      <c r="I27" s="1105"/>
    </row>
    <row r="28" spans="1:9" s="1600" customFormat="1" ht="19.5" customHeight="1">
      <c r="A28" s="3430"/>
      <c r="B28" s="3430"/>
      <c r="C28" s="1131" t="s">
        <v>1464</v>
      </c>
      <c r="D28" s="1132"/>
      <c r="E28" s="1154">
        <v>0.9</v>
      </c>
      <c r="F28" s="1133" t="s">
        <v>1465</v>
      </c>
      <c r="G28" s="1134"/>
      <c r="H28" s="1105"/>
      <c r="I28" s="1105"/>
    </row>
    <row r="29" spans="1:9" s="1600" customFormat="1" ht="19.5" customHeight="1">
      <c r="A29" s="3430"/>
      <c r="B29" s="3430"/>
      <c r="C29" s="1131" t="s">
        <v>1466</v>
      </c>
      <c r="D29" s="1132"/>
      <c r="E29" s="1154">
        <v>0.9</v>
      </c>
      <c r="F29" s="1133" t="s">
        <v>1467</v>
      </c>
      <c r="G29" s="1134"/>
      <c r="H29" s="1105"/>
      <c r="I29" s="1105"/>
    </row>
    <row r="30" spans="1:9" s="1600" customFormat="1" ht="19.5" customHeight="1">
      <c r="A30" s="3430"/>
      <c r="B30" s="3430"/>
      <c r="C30" s="1131" t="s">
        <v>1468</v>
      </c>
      <c r="D30" s="1132"/>
      <c r="E30" s="1154">
        <v>0.9</v>
      </c>
      <c r="F30" s="1133" t="s">
        <v>1469</v>
      </c>
      <c r="G30" s="1134"/>
      <c r="H30" s="1105"/>
      <c r="I30" s="1105"/>
    </row>
    <row r="31" spans="1:9" s="1600" customFormat="1" ht="19.5" customHeight="1">
      <c r="A31" s="3430"/>
      <c r="B31" s="3430"/>
      <c r="C31" s="1131" t="s">
        <v>1470</v>
      </c>
      <c r="D31" s="1132"/>
      <c r="E31" s="1154">
        <v>0.8</v>
      </c>
      <c r="F31" s="1133" t="s">
        <v>1471</v>
      </c>
      <c r="G31" s="1134"/>
      <c r="H31" s="1105"/>
      <c r="I31" s="1105"/>
    </row>
    <row r="32" spans="1:9" s="1600" customFormat="1" ht="19.5" customHeight="1">
      <c r="A32" s="3430"/>
      <c r="B32" s="3430"/>
      <c r="C32" s="1131" t="s">
        <v>1472</v>
      </c>
      <c r="D32" s="1132"/>
      <c r="E32" s="1154">
        <v>0.8</v>
      </c>
      <c r="F32" s="1133" t="s">
        <v>1473</v>
      </c>
      <c r="G32" s="1134"/>
      <c r="H32" s="1105"/>
      <c r="I32" s="1105"/>
    </row>
    <row r="33" spans="1:9" s="1600" customFormat="1" ht="19.5" customHeight="1">
      <c r="A33" s="3430" t="s">
        <v>1474</v>
      </c>
      <c r="B33" s="1154" t="s">
        <v>1446</v>
      </c>
      <c r="C33" s="1131" t="s">
        <v>1475</v>
      </c>
      <c r="D33" s="1132"/>
      <c r="E33" s="1154">
        <v>1</v>
      </c>
      <c r="F33" s="1133" t="s">
        <v>1476</v>
      </c>
      <c r="G33" s="1134"/>
      <c r="H33" s="1105"/>
      <c r="I33" s="1105"/>
    </row>
    <row r="34" spans="1:9" s="1600" customFormat="1" ht="19.5" customHeight="1">
      <c r="A34" s="3430"/>
      <c r="B34" s="1154" t="s">
        <v>1449</v>
      </c>
      <c r="C34" s="1131" t="s">
        <v>1477</v>
      </c>
      <c r="D34" s="1132"/>
      <c r="E34" s="1154">
        <v>1.5</v>
      </c>
      <c r="F34" s="1133" t="s">
        <v>1478</v>
      </c>
      <c r="G34" s="1134"/>
      <c r="H34" s="1105"/>
      <c r="I34" s="1105"/>
    </row>
    <row r="35" spans="1:9" s="1600" customFormat="1" ht="19.5" customHeight="1">
      <c r="A35" s="3430" t="s">
        <v>1432</v>
      </c>
      <c r="B35" s="1154" t="s">
        <v>1446</v>
      </c>
      <c r="C35" s="1131" t="s">
        <v>1479</v>
      </c>
      <c r="D35" s="1132"/>
      <c r="E35" s="1154">
        <v>1</v>
      </c>
      <c r="F35" s="1133" t="s">
        <v>1480</v>
      </c>
      <c r="G35" s="1134"/>
      <c r="H35" s="1105"/>
      <c r="I35" s="1105"/>
    </row>
    <row r="36" spans="1:9" s="1600" customFormat="1" ht="19.5" customHeight="1">
      <c r="A36" s="3430"/>
      <c r="B36" s="3430" t="s">
        <v>1449</v>
      </c>
      <c r="C36" s="1131" t="s">
        <v>1481</v>
      </c>
      <c r="D36" s="1132"/>
      <c r="E36" s="1154">
        <v>1</v>
      </c>
      <c r="F36" s="1133" t="s">
        <v>1482</v>
      </c>
      <c r="G36" s="1134"/>
      <c r="H36" s="1105"/>
      <c r="I36" s="1105"/>
    </row>
    <row r="37" spans="1:9" s="1600" customFormat="1" ht="19.5" customHeight="1">
      <c r="A37" s="3430"/>
      <c r="B37" s="3430"/>
      <c r="C37" s="1131" t="s">
        <v>1483</v>
      </c>
      <c r="D37" s="1132"/>
      <c r="E37" s="1154">
        <v>1.5</v>
      </c>
      <c r="F37" s="1133" t="s">
        <v>1484</v>
      </c>
      <c r="G37" s="1134"/>
      <c r="H37" s="1105"/>
      <c r="I37" s="1105"/>
    </row>
    <row r="38" spans="1:9" s="1600" customFormat="1" ht="19.5" customHeight="1">
      <c r="A38" s="3430"/>
      <c r="B38" s="3430"/>
      <c r="C38" s="1131" t="s">
        <v>1485</v>
      </c>
      <c r="D38" s="1132"/>
      <c r="E38" s="1154">
        <v>1</v>
      </c>
      <c r="F38" s="1133" t="s">
        <v>1486</v>
      </c>
      <c r="G38" s="1134"/>
      <c r="H38" s="1105"/>
      <c r="I38" s="1105"/>
    </row>
    <row r="39" spans="1:9" s="1600" customFormat="1" ht="19.5" customHeight="1">
      <c r="A39" s="3430"/>
      <c r="B39" s="343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0" t="s">
        <v>1501</v>
      </c>
      <c r="C61" s="1068" t="s">
        <v>1502</v>
      </c>
      <c r="D61" s="1068" t="s">
        <v>1503</v>
      </c>
      <c r="E61" s="1139">
        <v>0.5</v>
      </c>
      <c r="F61" s="1154">
        <v>80</v>
      </c>
      <c r="H61" s="1105">
        <f>SUMIF(C59:C119,基准地价!C8,E59:E119)</f>
        <v>0</v>
      </c>
    </row>
    <row r="62" spans="1:8" s="1105" customFormat="1" ht="24">
      <c r="A62" s="1154">
        <v>2</v>
      </c>
      <c r="B62" s="3430"/>
      <c r="C62" s="1068" t="s">
        <v>1504</v>
      </c>
      <c r="D62" s="1068" t="s">
        <v>1505</v>
      </c>
      <c r="E62" s="1139">
        <v>0.5</v>
      </c>
      <c r="F62" s="1154">
        <v>80</v>
      </c>
    </row>
    <row r="63" spans="1:8" s="1105" customFormat="1" ht="36">
      <c r="A63" s="1154">
        <v>3</v>
      </c>
      <c r="B63" s="3430"/>
      <c r="C63" s="1068" t="s">
        <v>1506</v>
      </c>
      <c r="D63" s="1068" t="s">
        <v>1507</v>
      </c>
      <c r="E63" s="1139">
        <v>0.5</v>
      </c>
      <c r="F63" s="1154">
        <v>80</v>
      </c>
    </row>
    <row r="64" spans="1:8" s="1105" customFormat="1" ht="36">
      <c r="A64" s="1154">
        <v>4</v>
      </c>
      <c r="B64" s="3430"/>
      <c r="C64" s="1068" t="s">
        <v>1508</v>
      </c>
      <c r="D64" s="1068" t="s">
        <v>1509</v>
      </c>
      <c r="E64" s="1139">
        <v>0.4</v>
      </c>
      <c r="F64" s="1154">
        <v>60</v>
      </c>
    </row>
    <row r="65" spans="1:6" s="1105" customFormat="1" ht="36">
      <c r="A65" s="1154">
        <v>5</v>
      </c>
      <c r="B65" s="3430"/>
      <c r="C65" s="1068" t="s">
        <v>1510</v>
      </c>
      <c r="D65" s="1068" t="s">
        <v>1511</v>
      </c>
      <c r="E65" s="1139">
        <v>0.2</v>
      </c>
      <c r="F65" s="1154">
        <v>30</v>
      </c>
    </row>
    <row r="66" spans="1:6" s="1105" customFormat="1" ht="36">
      <c r="A66" s="1154">
        <v>6</v>
      </c>
      <c r="B66" s="3430"/>
      <c r="C66" s="1068" t="s">
        <v>1512</v>
      </c>
      <c r="D66" s="1068" t="s">
        <v>1513</v>
      </c>
      <c r="E66" s="1139">
        <v>0.3</v>
      </c>
      <c r="F66" s="1154">
        <v>50</v>
      </c>
    </row>
    <row r="67" spans="1:6" s="1105" customFormat="1" ht="36">
      <c r="A67" s="1154">
        <v>7</v>
      </c>
      <c r="B67" s="3430"/>
      <c r="C67" s="1068" t="s">
        <v>1514</v>
      </c>
      <c r="D67" s="1068" t="s">
        <v>1515</v>
      </c>
      <c r="E67" s="1139">
        <v>0.2</v>
      </c>
      <c r="F67" s="1154">
        <v>30</v>
      </c>
    </row>
    <row r="68" spans="1:6" s="1105" customFormat="1" ht="36">
      <c r="A68" s="1154">
        <v>8</v>
      </c>
      <c r="B68" s="3430"/>
      <c r="C68" s="1068" t="s">
        <v>1516</v>
      </c>
      <c r="D68" s="1068" t="s">
        <v>1517</v>
      </c>
      <c r="E68" s="1139">
        <v>0.2</v>
      </c>
      <c r="F68" s="1154">
        <v>30</v>
      </c>
    </row>
    <row r="69" spans="1:6" s="1105" customFormat="1" ht="36">
      <c r="A69" s="1154">
        <v>9</v>
      </c>
      <c r="B69" s="3430"/>
      <c r="C69" s="1068" t="s">
        <v>1518</v>
      </c>
      <c r="D69" s="1068" t="s">
        <v>1519</v>
      </c>
      <c r="E69" s="1139">
        <v>0.2</v>
      </c>
      <c r="F69" s="1154">
        <v>30</v>
      </c>
    </row>
    <row r="70" spans="1:6" s="1105" customFormat="1" ht="48">
      <c r="A70" s="1154">
        <v>10</v>
      </c>
      <c r="B70" s="3430"/>
      <c r="C70" s="1068" t="s">
        <v>1520</v>
      </c>
      <c r="D70" s="1068" t="s">
        <v>1521</v>
      </c>
      <c r="E70" s="1139">
        <v>0.2</v>
      </c>
      <c r="F70" s="1154">
        <v>30</v>
      </c>
    </row>
    <row r="71" spans="1:6" s="1105" customFormat="1" ht="48">
      <c r="A71" s="1154">
        <v>11</v>
      </c>
      <c r="B71" s="3430"/>
      <c r="C71" s="1068" t="s">
        <v>1522</v>
      </c>
      <c r="D71" s="1068" t="s">
        <v>1523</v>
      </c>
      <c r="E71" s="1139">
        <v>0.2</v>
      </c>
      <c r="F71" s="1154">
        <v>30</v>
      </c>
    </row>
    <row r="72" spans="1:6" s="1105" customFormat="1" ht="36">
      <c r="A72" s="1154">
        <v>12</v>
      </c>
      <c r="B72" s="3430"/>
      <c r="C72" s="1068" t="s">
        <v>1524</v>
      </c>
      <c r="D72" s="1068" t="s">
        <v>1525</v>
      </c>
      <c r="E72" s="1139">
        <v>0.5</v>
      </c>
      <c r="F72" s="1154">
        <v>80</v>
      </c>
    </row>
    <row r="73" spans="1:6" s="1105" customFormat="1" ht="24">
      <c r="A73" s="1154">
        <v>13</v>
      </c>
      <c r="B73" s="3430"/>
      <c r="C73" s="1068" t="s">
        <v>1526</v>
      </c>
      <c r="D73" s="1068" t="s">
        <v>1527</v>
      </c>
      <c r="E73" s="1139">
        <v>0.4</v>
      </c>
      <c r="F73" s="1154">
        <v>60</v>
      </c>
    </row>
    <row r="74" spans="1:6" s="1105" customFormat="1" ht="24">
      <c r="A74" s="1154">
        <v>14</v>
      </c>
      <c r="B74" s="3430"/>
      <c r="C74" s="1068" t="s">
        <v>1528</v>
      </c>
      <c r="D74" s="1068" t="s">
        <v>1529</v>
      </c>
      <c r="E74" s="1139">
        <v>0.2</v>
      </c>
      <c r="F74" s="1154">
        <v>30</v>
      </c>
    </row>
    <row r="75" spans="1:6" s="1105" customFormat="1" ht="24">
      <c r="A75" s="1154">
        <v>15</v>
      </c>
      <c r="B75" s="3430"/>
      <c r="C75" s="1068" t="s">
        <v>1530</v>
      </c>
      <c r="D75" s="1068" t="s">
        <v>1531</v>
      </c>
      <c r="E75" s="1139">
        <v>0.2</v>
      </c>
      <c r="F75" s="1154">
        <v>30</v>
      </c>
    </row>
    <row r="76" spans="1:6" s="1105" customFormat="1" ht="24">
      <c r="A76" s="1154">
        <v>16</v>
      </c>
      <c r="B76" s="3430" t="s">
        <v>1532</v>
      </c>
      <c r="C76" s="1068" t="s">
        <v>1533</v>
      </c>
      <c r="D76" s="1068" t="s">
        <v>1534</v>
      </c>
      <c r="E76" s="1139">
        <v>0.5</v>
      </c>
      <c r="F76" s="1154">
        <v>80</v>
      </c>
    </row>
    <row r="77" spans="1:6" s="1105" customFormat="1" ht="24">
      <c r="A77" s="1154">
        <v>17</v>
      </c>
      <c r="B77" s="3430"/>
      <c r="C77" s="1068" t="s">
        <v>1535</v>
      </c>
      <c r="D77" s="1068" t="s">
        <v>1536</v>
      </c>
      <c r="E77" s="1139">
        <v>0.5</v>
      </c>
      <c r="F77" s="1154">
        <v>80</v>
      </c>
    </row>
    <row r="78" spans="1:6" s="1105" customFormat="1" ht="24">
      <c r="A78" s="1154">
        <v>18</v>
      </c>
      <c r="B78" s="3430"/>
      <c r="C78" s="1068" t="s">
        <v>1537</v>
      </c>
      <c r="D78" s="1068" t="s">
        <v>1538</v>
      </c>
      <c r="E78" s="1139">
        <v>0.2</v>
      </c>
      <c r="F78" s="1154">
        <v>30</v>
      </c>
    </row>
    <row r="79" spans="1:6" s="1105" customFormat="1" ht="24">
      <c r="A79" s="1154">
        <v>19</v>
      </c>
      <c r="B79" s="3430"/>
      <c r="C79" s="1068" t="s">
        <v>1539</v>
      </c>
      <c r="D79" s="1068" t="s">
        <v>1540</v>
      </c>
      <c r="E79" s="1139">
        <v>0.5</v>
      </c>
      <c r="F79" s="1154">
        <v>80</v>
      </c>
    </row>
    <row r="80" spans="1:6" s="1105" customFormat="1" ht="36">
      <c r="A80" s="1154">
        <v>20</v>
      </c>
      <c r="B80" s="3430"/>
      <c r="C80" s="1068" t="s">
        <v>1541</v>
      </c>
      <c r="D80" s="1068" t="s">
        <v>1542</v>
      </c>
      <c r="E80" s="1139">
        <v>0.2</v>
      </c>
      <c r="F80" s="1154">
        <v>30</v>
      </c>
    </row>
    <row r="81" spans="1:6" s="1105" customFormat="1" ht="36">
      <c r="A81" s="1154">
        <v>21</v>
      </c>
      <c r="B81" s="3430"/>
      <c r="C81" s="1068" t="s">
        <v>1543</v>
      </c>
      <c r="D81" s="1068" t="s">
        <v>1544</v>
      </c>
      <c r="E81" s="1139">
        <v>0.2</v>
      </c>
      <c r="F81" s="1154">
        <v>30</v>
      </c>
    </row>
    <row r="82" spans="1:6" s="1105" customFormat="1" ht="48">
      <c r="A82" s="1154">
        <v>22</v>
      </c>
      <c r="B82" s="3430"/>
      <c r="C82" s="1068" t="s">
        <v>1545</v>
      </c>
      <c r="D82" s="1068" t="s">
        <v>1546</v>
      </c>
      <c r="E82" s="1139">
        <v>0.2</v>
      </c>
      <c r="F82" s="1154">
        <v>30</v>
      </c>
    </row>
    <row r="83" spans="1:6" s="1105" customFormat="1" ht="48">
      <c r="A83" s="1154">
        <v>23</v>
      </c>
      <c r="B83" s="3430"/>
      <c r="C83" s="1068" t="s">
        <v>1547</v>
      </c>
      <c r="D83" s="1068" t="s">
        <v>1548</v>
      </c>
      <c r="E83" s="1139">
        <v>0.2</v>
      </c>
      <c r="F83" s="1154">
        <v>30</v>
      </c>
    </row>
    <row r="84" spans="1:6" s="1105" customFormat="1" ht="36">
      <c r="A84" s="1154">
        <v>24</v>
      </c>
      <c r="B84" s="3430"/>
      <c r="C84" s="1068" t="s">
        <v>1549</v>
      </c>
      <c r="D84" s="1068" t="s">
        <v>1550</v>
      </c>
      <c r="E84" s="1139">
        <v>0.2</v>
      </c>
      <c r="F84" s="1154">
        <v>30</v>
      </c>
    </row>
    <row r="85" spans="1:6" s="1105" customFormat="1" ht="36">
      <c r="A85" s="1154">
        <v>25</v>
      </c>
      <c r="B85" s="3430"/>
      <c r="C85" s="1068" t="s">
        <v>1551</v>
      </c>
      <c r="D85" s="1068" t="s">
        <v>1552</v>
      </c>
      <c r="E85" s="1139">
        <v>0.5</v>
      </c>
      <c r="F85" s="1154">
        <v>80</v>
      </c>
    </row>
    <row r="86" spans="1:6" s="1105" customFormat="1" ht="36">
      <c r="A86" s="1154">
        <v>26</v>
      </c>
      <c r="B86" s="3430"/>
      <c r="C86" s="1068" t="s">
        <v>1553</v>
      </c>
      <c r="D86" s="1068" t="s">
        <v>1554</v>
      </c>
      <c r="E86" s="1139">
        <v>0.2</v>
      </c>
      <c r="F86" s="1154">
        <v>30</v>
      </c>
    </row>
    <row r="87" spans="1:6" s="1105" customFormat="1" ht="36">
      <c r="A87" s="1154">
        <v>27</v>
      </c>
      <c r="B87" s="3430"/>
      <c r="C87" s="1068" t="s">
        <v>1555</v>
      </c>
      <c r="D87" s="1068" t="s">
        <v>1556</v>
      </c>
      <c r="E87" s="1139">
        <v>0.2</v>
      </c>
      <c r="F87" s="1154">
        <v>30</v>
      </c>
    </row>
    <row r="88" spans="1:6" s="1105" customFormat="1" ht="36">
      <c r="A88" s="1154">
        <v>28</v>
      </c>
      <c r="B88" s="3430"/>
      <c r="C88" s="1068" t="s">
        <v>1557</v>
      </c>
      <c r="D88" s="1068" t="s">
        <v>1558</v>
      </c>
      <c r="E88" s="1139">
        <v>0.2</v>
      </c>
      <c r="F88" s="1154">
        <v>30</v>
      </c>
    </row>
    <row r="89" spans="1:6" s="1105" customFormat="1" ht="24">
      <c r="A89" s="1154">
        <v>29</v>
      </c>
      <c r="B89" s="3430"/>
      <c r="C89" s="1068" t="s">
        <v>1559</v>
      </c>
      <c r="D89" s="1068" t="s">
        <v>1560</v>
      </c>
      <c r="E89" s="1139">
        <v>0.2</v>
      </c>
      <c r="F89" s="1154">
        <v>30</v>
      </c>
    </row>
    <row r="90" spans="1:6" s="1105" customFormat="1" ht="24">
      <c r="A90" s="1154">
        <v>30</v>
      </c>
      <c r="B90" s="3430"/>
      <c r="C90" s="1068" t="s">
        <v>1561</v>
      </c>
      <c r="D90" s="1068" t="s">
        <v>1562</v>
      </c>
      <c r="E90" s="1139">
        <v>0.2</v>
      </c>
      <c r="F90" s="1154">
        <v>30</v>
      </c>
    </row>
    <row r="91" spans="1:6" s="1105" customFormat="1" ht="36">
      <c r="A91" s="1154">
        <v>31</v>
      </c>
      <c r="B91" s="3430"/>
      <c r="C91" s="1068" t="s">
        <v>1563</v>
      </c>
      <c r="D91" s="1068" t="s">
        <v>1564</v>
      </c>
      <c r="E91" s="1139">
        <v>0.2</v>
      </c>
      <c r="F91" s="1154">
        <v>30</v>
      </c>
    </row>
    <row r="92" spans="1:6" s="1105" customFormat="1" ht="24">
      <c r="A92" s="1154">
        <v>32</v>
      </c>
      <c r="B92" s="3430" t="s">
        <v>1565</v>
      </c>
      <c r="C92" s="1154" t="s">
        <v>1566</v>
      </c>
      <c r="D92" s="1068" t="s">
        <v>1567</v>
      </c>
      <c r="E92" s="1139">
        <v>0.2</v>
      </c>
      <c r="F92" s="1154">
        <v>30</v>
      </c>
    </row>
    <row r="93" spans="1:6" s="1105" customFormat="1" ht="36">
      <c r="A93" s="1154">
        <v>33</v>
      </c>
      <c r="B93" s="3430"/>
      <c r="C93" s="1154" t="s">
        <v>1568</v>
      </c>
      <c r="D93" s="1068" t="s">
        <v>1569</v>
      </c>
      <c r="E93" s="1139">
        <v>0.2</v>
      </c>
      <c r="F93" s="1154">
        <v>30</v>
      </c>
    </row>
    <row r="94" spans="1:6" s="1105" customFormat="1" ht="48">
      <c r="A94" s="1154">
        <v>34</v>
      </c>
      <c r="B94" s="3430"/>
      <c r="C94" s="1154" t="s">
        <v>1570</v>
      </c>
      <c r="D94" s="1068" t="s">
        <v>1571</v>
      </c>
      <c r="E94" s="1139">
        <v>0.2</v>
      </c>
      <c r="F94" s="1154">
        <v>30</v>
      </c>
    </row>
    <row r="95" spans="1:6" s="1105" customFormat="1" ht="36">
      <c r="A95" s="1154">
        <v>35</v>
      </c>
      <c r="B95" s="3430"/>
      <c r="C95" s="1154" t="s">
        <v>1572</v>
      </c>
      <c r="D95" s="1068" t="s">
        <v>1573</v>
      </c>
      <c r="E95" s="1139">
        <v>0.2</v>
      </c>
      <c r="F95" s="1154">
        <v>30</v>
      </c>
    </row>
    <row r="96" spans="1:6" s="1105" customFormat="1" ht="48">
      <c r="A96" s="1154">
        <v>36</v>
      </c>
      <c r="B96" s="3430"/>
      <c r="C96" s="1068" t="s">
        <v>1574</v>
      </c>
      <c r="D96" s="1068" t="s">
        <v>1575</v>
      </c>
      <c r="E96" s="1139">
        <v>0.2</v>
      </c>
      <c r="F96" s="1154">
        <v>30</v>
      </c>
    </row>
    <row r="97" spans="1:6" s="1105" customFormat="1" ht="36">
      <c r="A97" s="1154">
        <v>37</v>
      </c>
      <c r="B97" s="3430"/>
      <c r="C97" s="1154" t="s">
        <v>1576</v>
      </c>
      <c r="D97" s="1068" t="s">
        <v>1577</v>
      </c>
      <c r="E97" s="1139">
        <v>0.2</v>
      </c>
      <c r="F97" s="1154">
        <v>30</v>
      </c>
    </row>
    <row r="98" spans="1:6" s="1105" customFormat="1" ht="36">
      <c r="A98" s="1154">
        <v>38</v>
      </c>
      <c r="B98" s="3430"/>
      <c r="C98" s="1154" t="s">
        <v>1578</v>
      </c>
      <c r="D98" s="1068" t="s">
        <v>1579</v>
      </c>
      <c r="E98" s="1139">
        <v>0.2</v>
      </c>
      <c r="F98" s="1154">
        <v>30</v>
      </c>
    </row>
    <row r="99" spans="1:6" s="1105" customFormat="1" ht="36">
      <c r="A99" s="1154">
        <v>39</v>
      </c>
      <c r="B99" s="3430" t="s">
        <v>1580</v>
      </c>
      <c r="C99" s="1154" t="s">
        <v>1581</v>
      </c>
      <c r="D99" s="1068" t="s">
        <v>1582</v>
      </c>
      <c r="E99" s="1139">
        <v>0.3</v>
      </c>
      <c r="F99" s="1154">
        <v>50</v>
      </c>
    </row>
    <row r="100" spans="1:6" s="1105" customFormat="1" ht="24">
      <c r="A100" s="1154">
        <v>40</v>
      </c>
      <c r="B100" s="3430"/>
      <c r="C100" s="1154" t="s">
        <v>1583</v>
      </c>
      <c r="D100" s="1068" t="s">
        <v>1584</v>
      </c>
      <c r="E100" s="1139">
        <v>0.2</v>
      </c>
      <c r="F100" s="1154">
        <v>30</v>
      </c>
    </row>
    <row r="101" spans="1:6" s="1105" customFormat="1" ht="36">
      <c r="A101" s="1154">
        <v>41</v>
      </c>
      <c r="B101" s="343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0" t="s">
        <v>1595</v>
      </c>
      <c r="C105" s="1154" t="s">
        <v>1596</v>
      </c>
      <c r="D105" s="1068" t="s">
        <v>1597</v>
      </c>
      <c r="E105" s="1139">
        <v>0.2</v>
      </c>
      <c r="F105" s="1154">
        <v>30</v>
      </c>
    </row>
    <row r="106" spans="1:6" s="1105" customFormat="1" ht="36">
      <c r="A106" s="1154">
        <v>46</v>
      </c>
      <c r="B106" s="3430"/>
      <c r="C106" s="1154" t="s">
        <v>1598</v>
      </c>
      <c r="D106" s="1068" t="s">
        <v>1599</v>
      </c>
      <c r="E106" s="1139">
        <v>0.2</v>
      </c>
      <c r="F106" s="1154">
        <v>30</v>
      </c>
    </row>
    <row r="107" spans="1:6" s="1105" customFormat="1" ht="36">
      <c r="A107" s="1154">
        <v>47</v>
      </c>
      <c r="B107" s="3430" t="s">
        <v>1600</v>
      </c>
      <c r="C107" s="1154" t="s">
        <v>1601</v>
      </c>
      <c r="D107" s="1068" t="s">
        <v>1602</v>
      </c>
      <c r="E107" s="1139">
        <v>0.3</v>
      </c>
      <c r="F107" s="1154">
        <v>50</v>
      </c>
    </row>
    <row r="108" spans="1:6" s="1105" customFormat="1" ht="36">
      <c r="A108" s="1154">
        <v>48</v>
      </c>
      <c r="B108" s="343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0" t="s">
        <v>1611</v>
      </c>
      <c r="C111" s="1154" t="s">
        <v>1612</v>
      </c>
      <c r="D111" s="1068" t="s">
        <v>1613</v>
      </c>
      <c r="E111" s="1139">
        <v>0.2</v>
      </c>
      <c r="F111" s="1154">
        <v>30</v>
      </c>
    </row>
    <row r="112" spans="1:6" s="1105" customFormat="1" ht="24">
      <c r="A112" s="1154">
        <v>52</v>
      </c>
      <c r="B112" s="3430"/>
      <c r="C112" s="1154" t="s">
        <v>1614</v>
      </c>
      <c r="D112" s="1068" t="s">
        <v>1615</v>
      </c>
      <c r="E112" s="1139">
        <v>0.2</v>
      </c>
      <c r="F112" s="1154">
        <v>30</v>
      </c>
    </row>
    <row r="113" spans="1:14" s="1105" customFormat="1" ht="24">
      <c r="A113" s="1154">
        <v>53</v>
      </c>
      <c r="B113" s="343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0" t="s">
        <v>1624</v>
      </c>
      <c r="C116" s="1154" t="s">
        <v>1625</v>
      </c>
      <c r="D116" s="1068" t="s">
        <v>1626</v>
      </c>
      <c r="E116" s="1139">
        <v>0.2</v>
      </c>
      <c r="F116" s="1154">
        <v>30</v>
      </c>
    </row>
    <row r="117" spans="1:14" ht="36">
      <c r="A117" s="1154">
        <v>57</v>
      </c>
      <c r="B117" s="343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9" t="s">
        <v>1633</v>
      </c>
      <c r="B121" s="3429"/>
      <c r="C121" s="3429"/>
      <c r="D121" s="3429"/>
      <c r="E121" s="3429"/>
      <c r="F121" s="3429"/>
      <c r="G121" s="3429"/>
      <c r="H121" s="3429"/>
      <c r="I121" s="3429"/>
      <c r="J121" s="342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4" t="s">
        <v>1039</v>
      </c>
      <c r="B1" s="3434"/>
      <c r="C1" s="3434"/>
      <c r="D1" s="3434"/>
      <c r="E1" s="3434"/>
      <c r="F1" s="343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5" t="s">
        <v>1052</v>
      </c>
      <c r="B2" s="3435"/>
      <c r="C2" s="3435"/>
      <c r="D2" s="3435"/>
      <c r="E2" s="3435"/>
      <c r="F2" s="343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8" t="s">
        <v>2080</v>
      </c>
      <c r="B1" s="3438"/>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2949</v>
      </c>
      <c r="B1" s="3105"/>
      <c r="C1" s="3105"/>
      <c r="D1" s="3105"/>
      <c r="E1" s="3105"/>
      <c r="F1" s="3105"/>
    </row>
    <row r="2" spans="1:6" ht="14.25">
      <c r="A2" s="3106" t="s">
        <v>2944</v>
      </c>
      <c r="B2" s="3107" t="e">
        <f ca="1">SUMIF(B7:B14,"&lt;&gt;#ref!",B7:B14)</f>
        <v>#DIV/0!</v>
      </c>
      <c r="C2" s="3106" t="s">
        <v>2945</v>
      </c>
      <c r="D2" s="3105"/>
      <c r="E2" s="3105"/>
      <c r="F2" s="3105"/>
    </row>
    <row r="3" spans="1:6" ht="14.25">
      <c r="A3" s="3106" t="s">
        <v>2978</v>
      </c>
      <c r="B3" s="3107" t="e">
        <f ca="1">ROUND(B2*10000/E3,0)</f>
        <v>#DIV/0!</v>
      </c>
      <c r="C3" s="3106" t="s">
        <v>2079</v>
      </c>
      <c r="D3" s="3106" t="s">
        <v>2946</v>
      </c>
      <c r="E3" s="3107">
        <f ca="1">SUMIF(E7:E14,"&lt;&gt;#ref!",E7:E14)</f>
        <v>0</v>
      </c>
      <c r="F3" s="3105"/>
    </row>
    <row r="4" spans="1:6" ht="14.25">
      <c r="A4" s="3106" t="s">
        <v>2953</v>
      </c>
      <c r="B4" s="3107" t="e">
        <f ca="1">ROUND(B2*10000/E4,0)</f>
        <v>#DIV/0!</v>
      </c>
      <c r="C4" s="3106" t="s">
        <v>2079</v>
      </c>
      <c r="D4" s="3106" t="s">
        <v>2954</v>
      </c>
      <c r="E4" s="3107">
        <f ca="1">SUMIF(F7:F14,"&lt;&gt;#ref!",F7:F14)</f>
        <v>0</v>
      </c>
      <c r="F4" s="3105"/>
    </row>
    <row r="5" spans="1:6" ht="14.25">
      <c r="A5" s="3108"/>
      <c r="B5" s="1882"/>
      <c r="C5" s="1882"/>
      <c r="D5" s="1882"/>
      <c r="E5" s="1882"/>
      <c r="F5" s="3105"/>
    </row>
    <row r="6" spans="1:6" ht="28.5">
      <c r="A6" s="3109" t="s">
        <v>2950</v>
      </c>
      <c r="B6" s="3106" t="s">
        <v>2947</v>
      </c>
      <c r="C6" s="3107"/>
      <c r="D6" s="1882"/>
      <c r="E6" s="3106" t="s">
        <v>2948</v>
      </c>
      <c r="F6" s="3106" t="s">
        <v>2952</v>
      </c>
    </row>
    <row r="7" spans="1:6" ht="14.25">
      <c r="A7" s="260" t="s">
        <v>2951</v>
      </c>
      <c r="B7" s="3110" t="e">
        <f ca="1">SUMIF(INDIRECT("'"&amp;A7&amp;"'"&amp;"!A:A"),"总价",INDIRECT("'"&amp;A7&amp;"'"&amp;"!B:B"))</f>
        <v>#DIV/0!</v>
      </c>
      <c r="C7" s="3106" t="s">
        <v>2945</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2945</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2945</v>
      </c>
      <c r="D9" s="1882"/>
      <c r="E9" s="3111" t="e">
        <f t="shared" ca="1" si="1"/>
        <v>#REF!</v>
      </c>
      <c r="F9" s="3111" t="e">
        <f t="shared" ca="1" si="2"/>
        <v>#REF!</v>
      </c>
    </row>
    <row r="10" spans="1:6" ht="14.25">
      <c r="A10" s="260"/>
      <c r="B10" s="3110" t="e">
        <f t="shared" ca="1" si="0"/>
        <v>#REF!</v>
      </c>
      <c r="C10" s="3106" t="s">
        <v>2945</v>
      </c>
      <c r="D10" s="1882"/>
      <c r="E10" s="3111" t="e">
        <f t="shared" ca="1" si="1"/>
        <v>#REF!</v>
      </c>
      <c r="F10" s="3111" t="e">
        <f t="shared" ca="1" si="2"/>
        <v>#REF!</v>
      </c>
    </row>
    <row r="11" spans="1:6" ht="14.25">
      <c r="A11" s="260"/>
      <c r="B11" s="3110" t="e">
        <f t="shared" ca="1" si="0"/>
        <v>#REF!</v>
      </c>
      <c r="C11" s="3106" t="s">
        <v>2945</v>
      </c>
      <c r="D11" s="1882"/>
      <c r="E11" s="3111" t="e">
        <f t="shared" ca="1" si="1"/>
        <v>#REF!</v>
      </c>
      <c r="F11" s="3111" t="e">
        <f t="shared" ca="1" si="2"/>
        <v>#REF!</v>
      </c>
    </row>
    <row r="12" spans="1:6" ht="14.25">
      <c r="A12" s="260"/>
      <c r="B12" s="3110" t="e">
        <f t="shared" ca="1" si="0"/>
        <v>#REF!</v>
      </c>
      <c r="C12" s="3106" t="s">
        <v>2945</v>
      </c>
      <c r="D12" s="1882"/>
      <c r="E12" s="3111" t="e">
        <f t="shared" ca="1" si="1"/>
        <v>#REF!</v>
      </c>
      <c r="F12" s="3111" t="e">
        <f t="shared" ca="1" si="2"/>
        <v>#REF!</v>
      </c>
    </row>
    <row r="13" spans="1:6" ht="14.25">
      <c r="A13" s="260"/>
      <c r="B13" s="3110" t="e">
        <f t="shared" ca="1" si="0"/>
        <v>#REF!</v>
      </c>
      <c r="C13" s="3106" t="s">
        <v>2945</v>
      </c>
      <c r="D13" s="1882"/>
      <c r="E13" s="3111" t="e">
        <f t="shared" ca="1" si="1"/>
        <v>#REF!</v>
      </c>
      <c r="F13" s="3111" t="e">
        <f t="shared" ca="1" si="2"/>
        <v>#REF!</v>
      </c>
    </row>
    <row r="14" spans="1:6" ht="14.25">
      <c r="A14" s="3104"/>
      <c r="B14" s="3110" t="e">
        <f t="shared" ca="1" si="0"/>
        <v>#REF!</v>
      </c>
      <c r="C14" s="3106" t="s">
        <v>2945</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6" t="s">
        <v>2373</v>
      </c>
      <c r="F1" s="2387">
        <f ca="1">J54</f>
        <v>-4</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628</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694</v>
      </c>
      <c r="I3" s="2058"/>
      <c r="J3" s="2058"/>
      <c r="K3" s="2059"/>
      <c r="L3" s="2058"/>
      <c r="M3" s="2058"/>
    </row>
    <row r="4" spans="1:25" ht="18" customHeight="1">
      <c r="A4" s="1647" t="s">
        <v>695</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696</v>
      </c>
      <c r="D5" s="2056"/>
      <c r="E5" s="2057"/>
      <c r="F5" s="2057"/>
      <c r="G5" s="1591"/>
      <c r="H5" s="776"/>
      <c r="I5" s="2058"/>
      <c r="J5" s="2058"/>
      <c r="K5" s="2059"/>
      <c r="L5" s="2058"/>
      <c r="M5" s="2058"/>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5" t="s">
        <v>2460</v>
      </c>
      <c r="E7" s="2489"/>
      <c r="F7" s="2490"/>
      <c r="G7" s="1593"/>
      <c r="H7" s="781">
        <v>1</v>
      </c>
      <c r="I7" s="782" t="s">
        <v>2457</v>
      </c>
      <c r="J7" s="53">
        <f ca="1">J8+J12+J14</f>
        <v>0</v>
      </c>
      <c r="K7" s="2495" t="s">
        <v>2460</v>
      </c>
      <c r="L7" s="2489"/>
      <c r="M7" s="2490"/>
    </row>
    <row r="8" spans="1:25" ht="18" customHeight="1">
      <c r="A8" s="1831" t="s">
        <v>1824</v>
      </c>
      <c r="B8" s="3360" t="s">
        <v>2462</v>
      </c>
      <c r="C8" s="1826">
        <f ca="1">ROUND(F8*F10*F9*(1-F11)/10000,0)</f>
        <v>0</v>
      </c>
      <c r="D8" s="1823" t="s">
        <v>2533</v>
      </c>
      <c r="E8" s="61" t="s">
        <v>636</v>
      </c>
      <c r="F8" s="785">
        <f ca="1">INDIRECT("'数据-取费表'!u"&amp;$G$1)</f>
        <v>0</v>
      </c>
      <c r="G8" s="1593"/>
      <c r="H8" s="2503" t="s">
        <v>1824</v>
      </c>
      <c r="I8" s="3360" t="s">
        <v>2462</v>
      </c>
      <c r="J8" s="783">
        <f ca="1">ROUND(M8*M10*M9*(1-M11)/10000,0)</f>
        <v>0</v>
      </c>
      <c r="K8" s="341" t="s">
        <v>2533</v>
      </c>
      <c r="L8" s="784" t="s">
        <v>1738</v>
      </c>
      <c r="M8" s="785">
        <f ca="1">INDIRECT("'数据-取费表'!z"&amp;$G$1)</f>
        <v>0</v>
      </c>
    </row>
    <row r="9" spans="1:25" ht="18" customHeight="1">
      <c r="A9" s="2499"/>
      <c r="B9" s="3361"/>
      <c r="C9" s="1827"/>
      <c r="D9" s="1824"/>
      <c r="E9" s="61" t="s">
        <v>637</v>
      </c>
      <c r="F9" s="785">
        <f ca="1">IF(INDIRECT("'数据-取费表'!ah"&amp;$G$1)="",INDIRECT("'数据-取费表'!k"&amp;$G$1),INDIRECT("'数据-取费表'!ah"&amp;$G$1))</f>
        <v>0</v>
      </c>
      <c r="G9" s="1593"/>
      <c r="H9" s="2488"/>
      <c r="I9" s="3361"/>
      <c r="J9" s="788"/>
      <c r="K9" s="789"/>
      <c r="L9" s="784" t="s">
        <v>1739</v>
      </c>
      <c r="M9" s="785">
        <f ca="1">F9</f>
        <v>0</v>
      </c>
    </row>
    <row r="10" spans="1:25" ht="18" customHeight="1">
      <c r="A10" s="2492"/>
      <c r="B10" s="3362"/>
      <c r="C10" s="1827"/>
      <c r="D10" s="1824"/>
      <c r="E10" s="61" t="s">
        <v>638</v>
      </c>
      <c r="F10" s="785">
        <f ca="1">INDIRECT("'数据-取费表'!ai"&amp;$G$1)</f>
        <v>0</v>
      </c>
      <c r="G10" s="1593"/>
      <c r="H10" s="2488"/>
      <c r="I10" s="3362"/>
      <c r="J10" s="788"/>
      <c r="K10" s="789"/>
      <c r="L10" s="784" t="s">
        <v>1740</v>
      </c>
      <c r="M10" s="785">
        <f ca="1">INDIRECT("'数据-取费表'!ai"&amp;$G$1)</f>
        <v>0</v>
      </c>
    </row>
    <row r="11" spans="1:25" ht="18" customHeight="1">
      <c r="A11" s="786"/>
      <c r="B11" s="3363"/>
      <c r="C11" s="1827"/>
      <c r="D11" s="1824"/>
      <c r="E11" s="61" t="s">
        <v>639</v>
      </c>
      <c r="F11" s="794">
        <f ca="1">INDIRECT("'数据-取费表'!w"&amp;$G$1)</f>
        <v>0</v>
      </c>
      <c r="G11" s="1593"/>
      <c r="H11" s="2504"/>
      <c r="I11" s="3362"/>
      <c r="J11" s="788"/>
      <c r="K11" s="789"/>
      <c r="L11" s="795" t="s">
        <v>1741</v>
      </c>
      <c r="M11" s="796">
        <f ca="1">INDIRECT("'数据-取费表'!ab"&amp;$G$1)</f>
        <v>0</v>
      </c>
    </row>
    <row r="12" spans="1:25" ht="18" customHeight="1">
      <c r="A12" s="1831" t="s">
        <v>1825</v>
      </c>
      <c r="B12" s="2493" t="s">
        <v>2458</v>
      </c>
      <c r="C12" s="799">
        <f ca="1">ROUND(IF(F12="押一",C8/12*F13,IF(F12="押二",C8/12*2*F13,IF(F12="押三",C8/12*3*F13,C13*F13))),0)</f>
        <v>0</v>
      </c>
      <c r="D12" s="2500" t="s">
        <v>2974</v>
      </c>
      <c r="E12" s="2497" t="s">
        <v>2463</v>
      </c>
      <c r="F12" s="2620"/>
      <c r="G12" s="1593"/>
      <c r="H12" s="2560" t="s">
        <v>1825</v>
      </c>
      <c r="I12" s="2565" t="s">
        <v>2458</v>
      </c>
      <c r="J12" s="783">
        <f ca="1">ROUND(IF(M12="押一",J8/12*M13,IF(M12="押二",J8/12*2*M13,IF(M12="押三",J8/12*3*M13,J13*M13))),0)</f>
        <v>0</v>
      </c>
      <c r="K12" s="2500" t="s">
        <v>2974</v>
      </c>
      <c r="L12" s="2497" t="s">
        <v>2463</v>
      </c>
      <c r="M12" s="2620"/>
    </row>
    <row r="13" spans="1:25" ht="18" customHeight="1">
      <c r="A13" s="790"/>
      <c r="B13" s="2494" t="s">
        <v>2572</v>
      </c>
      <c r="C13" s="2498"/>
      <c r="D13" s="789"/>
      <c r="E13" s="2497" t="s">
        <v>2455</v>
      </c>
      <c r="F13" s="796">
        <f ca="1">'数据-取费表'!B39</f>
        <v>1.4999999999999999E-2</v>
      </c>
      <c r="G13" s="1593"/>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3"/>
      <c r="H14" s="2550" t="s">
        <v>2466</v>
      </c>
      <c r="I14" s="2563" t="s">
        <v>2459</v>
      </c>
      <c r="J14" s="2564"/>
      <c r="K14" s="2539"/>
      <c r="L14" s="2540"/>
      <c r="M14" s="2553"/>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3"/>
      <c r="H16" s="803" t="s">
        <v>2070</v>
      </c>
      <c r="I16" s="2232" t="s">
        <v>2824</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0.03</v>
      </c>
      <c r="G23" s="1594"/>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1" t="str">
        <f>IF(F25&lt;=1,"单利计息。","复利计息。")&amp;"建造成本、管理费用、销售费用产生的利息。"</f>
        <v>复利计息。建造成本、管理费用、销售费用产生的利息。</v>
      </c>
      <c r="E24" s="1983"/>
      <c r="F24" s="56"/>
      <c r="G24" s="1593"/>
      <c r="H24" s="1832" t="s">
        <v>2071</v>
      </c>
      <c r="I24" s="784" t="s">
        <v>675</v>
      </c>
      <c r="J24" s="53">
        <f ca="1">ROUND(J16*M24,0)</f>
        <v>0</v>
      </c>
      <c r="K24" s="1978" t="s">
        <v>676</v>
      </c>
      <c r="L24" s="784" t="s">
        <v>648</v>
      </c>
      <c r="M24" s="817">
        <f ca="1">INDIRECT("'数据-取费表'!Ak"&amp;$G$1)</f>
        <v>0</v>
      </c>
    </row>
    <row r="25" spans="1:25" s="2065" customFormat="1" ht="18" customHeight="1">
      <c r="A25" s="803" t="s">
        <v>1875</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677</v>
      </c>
      <c r="F25" s="640">
        <f>'数据-取费表'!B20</f>
        <v>4</v>
      </c>
      <c r="G25" s="1594"/>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2.8999999999999998E-3</v>
      </c>
      <c r="D26" s="2570"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3"/>
      <c r="H27" s="797" t="s">
        <v>1828</v>
      </c>
      <c r="I27" s="3010" t="s">
        <v>2821</v>
      </c>
      <c r="J27" s="799">
        <f ca="1">J7-J18</f>
        <v>0</v>
      </c>
      <c r="K27" s="1980" t="s">
        <v>699</v>
      </c>
      <c r="L27" s="1982"/>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59" t="s">
        <v>1883</v>
      </c>
      <c r="B31" s="2540" t="s">
        <v>2822</v>
      </c>
      <c r="C31" s="2543">
        <f ca="1">ROUND((C21+C22+C25+C28)/(1-F23-C26-C29-C30),0)</f>
        <v>0</v>
      </c>
      <c r="D31" s="2544"/>
      <c r="E31" s="2545"/>
      <c r="F31" s="2546"/>
      <c r="G31" s="1594"/>
      <c r="H31" s="823" t="s">
        <v>1872</v>
      </c>
      <c r="I31" s="3011" t="s">
        <v>2823</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6"/>
      <c r="F32" s="2490"/>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5.5000000000000007E-2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5</v>
      </c>
      <c r="G36" s="2063"/>
      <c r="H36" s="2066"/>
      <c r="I36" s="3439"/>
      <c r="J36" s="2080"/>
      <c r="K36" s="2081"/>
      <c r="L36" s="2080"/>
      <c r="M36" s="2080"/>
    </row>
    <row r="37" spans="1:18" ht="18" customHeight="1">
      <c r="A37" s="815"/>
      <c r="B37" s="793"/>
      <c r="C37" s="69"/>
      <c r="D37" s="816"/>
      <c r="E37" s="784" t="s">
        <v>673</v>
      </c>
      <c r="F37" s="785">
        <f ca="1">INDIRECT("'数据-取费表'!r"&amp;$G$1)</f>
        <v>0</v>
      </c>
      <c r="G37" s="2063"/>
      <c r="H37" s="2066"/>
      <c r="I37" s="3439"/>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59" t="s">
        <v>1879</v>
      </c>
      <c r="B40" s="2545" t="s">
        <v>665</v>
      </c>
      <c r="C40" s="2543">
        <f ca="1">ROUND(C7*F40,1)</f>
        <v>0</v>
      </c>
      <c r="D40" s="2544" t="s">
        <v>682</v>
      </c>
      <c r="E40" s="2545" t="s">
        <v>648</v>
      </c>
      <c r="F40" s="2541">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2" t="s">
        <v>2962</v>
      </c>
      <c r="F43" s="3123">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7">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4"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7" t="s">
        <v>2342</v>
      </c>
      <c r="J47" s="2378"/>
      <c r="K47" s="2379"/>
      <c r="L47" s="3160" t="str">
        <f ca="1">IF(M48="住宅",0,IF(L49&gt;J52,L61,J61))</f>
        <v>0</v>
      </c>
      <c r="O47" s="2393" t="s">
        <v>2409</v>
      </c>
      <c r="P47" s="1593"/>
      <c r="Q47" s="1605"/>
      <c r="R47" s="1593"/>
    </row>
    <row r="48" spans="1:18" s="2060" customFormat="1" ht="18" customHeight="1" thickBot="1">
      <c r="A48" s="2085"/>
      <c r="C48" s="2088"/>
      <c r="D48" s="2089"/>
      <c r="E48" s="2089"/>
      <c r="F48" s="2090"/>
      <c r="G48" s="2091"/>
      <c r="I48" s="3150" t="s">
        <v>2343</v>
      </c>
      <c r="J48" s="2380"/>
      <c r="K48" s="3157" t="s">
        <v>2348</v>
      </c>
      <c r="L48" s="3161">
        <f ca="1">INDIRECT("'数据-取费表'!d"&amp;$G$1)</f>
        <v>0</v>
      </c>
      <c r="M48" s="3121" t="str">
        <f>IF(ISNUMBER(FIND("住宅",C1)),"住宅","非住宅")</f>
        <v>非住宅</v>
      </c>
      <c r="O48" s="2394" t="s">
        <v>2374</v>
      </c>
      <c r="P48" s="2395" t="s">
        <v>2375</v>
      </c>
      <c r="Q48" s="2396" t="s">
        <v>2376</v>
      </c>
      <c r="R48" s="2395" t="s">
        <v>2377</v>
      </c>
    </row>
    <row r="49" spans="1:18" s="2060" customFormat="1" ht="18" customHeight="1" thickBot="1">
      <c r="A49" s="2085"/>
      <c r="D49" s="2092"/>
      <c r="E49" s="2093"/>
      <c r="F49" s="2090"/>
      <c r="G49" s="2091"/>
      <c r="H49" s="2094"/>
      <c r="I49" s="3126" t="s">
        <v>2344</v>
      </c>
      <c r="J49" s="2381"/>
      <c r="K49" s="3158" t="s">
        <v>2350</v>
      </c>
      <c r="L49" s="1909">
        <f ca="1">INDIRECT("'数据-取费表'!f"&amp;$G$1)</f>
        <v>0</v>
      </c>
      <c r="O49" s="2397" t="s">
        <v>2378</v>
      </c>
      <c r="P49" s="2398" t="s">
        <v>2404</v>
      </c>
      <c r="Q49" s="2399">
        <f ca="1">C41+J31</f>
        <v>0</v>
      </c>
      <c r="R49" s="2398" t="s">
        <v>2379</v>
      </c>
    </row>
    <row r="50" spans="1:18" s="2060" customFormat="1" ht="18" customHeight="1" thickBot="1">
      <c r="A50" s="2085"/>
      <c r="D50" s="2095"/>
      <c r="E50" s="2095"/>
      <c r="F50" s="2089"/>
      <c r="G50" s="2096"/>
      <c r="H50" s="2094"/>
      <c r="I50" s="3126" t="s">
        <v>2345</v>
      </c>
      <c r="J50" s="2382"/>
      <c r="K50" s="3159" t="s">
        <v>2351</v>
      </c>
      <c r="L50" s="2383"/>
      <c r="O50" s="2397" t="s">
        <v>2380</v>
      </c>
      <c r="P50" s="2398" t="s">
        <v>2405</v>
      </c>
      <c r="Q50" s="2399" t="str">
        <f ca="1">J61</f>
        <v>0</v>
      </c>
      <c r="R50" s="2398" t="s">
        <v>2381</v>
      </c>
    </row>
    <row r="51" spans="1:18" s="2060" customFormat="1" ht="18" customHeight="1" thickBot="1">
      <c r="A51" s="2097"/>
      <c r="D51" s="2095"/>
      <c r="E51" s="2095"/>
      <c r="F51" s="2086"/>
      <c r="H51" s="2094"/>
      <c r="I51" s="3126" t="s">
        <v>2346</v>
      </c>
      <c r="J51" s="3154">
        <f>SUMPRODUCT((I64:I66=J48)*(J63:L63=J49)*(J64:L66))</f>
        <v>0</v>
      </c>
      <c r="K51" s="3159" t="s">
        <v>2352</v>
      </c>
      <c r="L51" s="2383"/>
      <c r="O51" s="2400" t="s">
        <v>2382</v>
      </c>
      <c r="P51" s="2398" t="s">
        <v>2406</v>
      </c>
      <c r="Q51" s="2399">
        <f ca="1">C31</f>
        <v>0</v>
      </c>
      <c r="R51" s="2398" t="s">
        <v>2379</v>
      </c>
    </row>
    <row r="52" spans="1:18" s="2060" customFormat="1" ht="18" customHeight="1" thickBot="1">
      <c r="A52" s="2097"/>
      <c r="F52" s="2086"/>
      <c r="I52" s="3151" t="s">
        <v>2347</v>
      </c>
      <c r="J52" s="3155">
        <f>IF(J50="",J51,J50+J51-YEAR('数据-取费表'!B3))</f>
        <v>0</v>
      </c>
      <c r="K52" s="3126" t="s">
        <v>2353</v>
      </c>
      <c r="L52" s="3162">
        <f ca="1">ROUND(-PV(INDIRECT("'数据-取费表'!h"&amp;$G$1),L49,(C40-C14*J36),0),0)</f>
        <v>0</v>
      </c>
      <c r="O52" s="2400" t="s">
        <v>2383</v>
      </c>
      <c r="P52" s="2398" t="s">
        <v>2384</v>
      </c>
      <c r="Q52" s="2401" t="e">
        <f ca="1">J59</f>
        <v>#VALUE!</v>
      </c>
      <c r="R52" s="2402"/>
    </row>
    <row r="53" spans="1:18" s="2060" customFormat="1" ht="18" customHeight="1" thickBot="1">
      <c r="A53" s="2097"/>
      <c r="F53" s="2086"/>
      <c r="I53" s="3152" t="s">
        <v>2420</v>
      </c>
      <c r="J53" s="2384"/>
      <c r="K53" s="3152" t="s">
        <v>2419</v>
      </c>
      <c r="L53" s="2384"/>
      <c r="O53" s="2400" t="s">
        <v>2385</v>
      </c>
      <c r="P53" s="2398" t="s">
        <v>2386</v>
      </c>
      <c r="Q53" s="2401">
        <f>J53</f>
        <v>0</v>
      </c>
      <c r="R53" s="2402"/>
    </row>
    <row r="54" spans="1:18" s="2060" customFormat="1" ht="29.25" thickBot="1">
      <c r="A54" s="2097"/>
      <c r="I54" s="3153" t="s">
        <v>2979</v>
      </c>
      <c r="J54" s="3156">
        <f ca="1">IF(M48="住宅",MAX(J52,L49-'数据-取费表'!B20),MIN(J52,L49-'数据-取费表'!B20))</f>
        <v>-4</v>
      </c>
      <c r="K54" s="3440"/>
      <c r="L54" s="3441"/>
      <c r="O54" s="2400" t="s">
        <v>2387</v>
      </c>
      <c r="P54" s="2398" t="s">
        <v>2388</v>
      </c>
      <c r="Q54" s="2399">
        <f ca="1">J54</f>
        <v>-4</v>
      </c>
      <c r="R54" s="2398" t="s">
        <v>2389</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2390</v>
      </c>
      <c r="P55" s="2398" t="s">
        <v>2407</v>
      </c>
      <c r="Q55" s="2399">
        <f ca="1">Q49+Q50</f>
        <v>0</v>
      </c>
      <c r="R55" s="2402" t="s">
        <v>2391</v>
      </c>
    </row>
    <row r="56" spans="1:18" s="2060" customFormat="1" ht="16.5" thickBot="1">
      <c r="A56" s="2097"/>
      <c r="B56" s="2098"/>
      <c r="C56" s="2098"/>
      <c r="I56" s="3165" t="s">
        <v>2354</v>
      </c>
      <c r="J56" s="3101" t="e">
        <f ca="1">ROUND(IF(J48="钢混",J58/J51,1-(1-2%)*(J51-J58)/J51),3)</f>
        <v>#VALUE!</v>
      </c>
      <c r="K56" s="3166" t="s">
        <v>2355</v>
      </c>
      <c r="L56" s="2385"/>
      <c r="O56" s="2403" t="s">
        <v>2410</v>
      </c>
      <c r="P56" s="1593"/>
      <c r="Q56" s="1605"/>
      <c r="R56" s="1593"/>
    </row>
    <row r="57" spans="1:18" s="2060" customFormat="1" ht="43.5" thickBot="1">
      <c r="A57" s="2097"/>
      <c r="B57" s="2098"/>
      <c r="C57" s="2098"/>
      <c r="I57" s="3167" t="s">
        <v>2356</v>
      </c>
      <c r="J57" s="3177" t="s">
        <v>1678</v>
      </c>
      <c r="K57" s="3126" t="s">
        <v>2361</v>
      </c>
      <c r="L57" s="1909">
        <f ca="1">IF(L49&lt;J52,"——",L49-J52)</f>
        <v>0</v>
      </c>
      <c r="O57" s="2394" t="s">
        <v>2374</v>
      </c>
      <c r="P57" s="2395" t="s">
        <v>2375</v>
      </c>
      <c r="Q57" s="2396" t="s">
        <v>2376</v>
      </c>
      <c r="R57" s="2395" t="s">
        <v>2377</v>
      </c>
    </row>
    <row r="58" spans="1:18" s="2060" customFormat="1" ht="29.25" thickBot="1">
      <c r="A58" s="2097"/>
      <c r="B58" s="2098"/>
      <c r="C58" s="2098"/>
      <c r="I58" s="3168" t="s">
        <v>2357</v>
      </c>
      <c r="J58" s="3169" t="str">
        <f ca="1">IF(OR(M48="住宅",J52&lt;L49,J57="是"),"——",J52-L49)</f>
        <v>——</v>
      </c>
      <c r="K58" s="3126" t="s">
        <v>2362</v>
      </c>
      <c r="L58" s="1909">
        <f ca="1">IF(L49&lt;J52,"——",IF(L56="比较法",L50,IF(L56="基准地价",L51,L52)))</f>
        <v>0</v>
      </c>
      <c r="O58" s="2397" t="s">
        <v>2378</v>
      </c>
      <c r="P58" s="2398" t="s">
        <v>2404</v>
      </c>
      <c r="Q58" s="2399">
        <f ca="1">C41+J31</f>
        <v>0</v>
      </c>
      <c r="R58" s="2398" t="s">
        <v>2379</v>
      </c>
    </row>
    <row r="59" spans="1:18" s="2060" customFormat="1" ht="29.25" thickBot="1">
      <c r="A59" s="2097"/>
      <c r="B59" s="2098"/>
      <c r="C59" s="2098"/>
      <c r="I59" s="3168" t="s">
        <v>2358</v>
      </c>
      <c r="J59" s="3102" t="e">
        <f ca="1">IF(J56&lt;0.4,0.4,J56)</f>
        <v>#VALUE!</v>
      </c>
      <c r="K59" s="3126" t="s">
        <v>2363</v>
      </c>
      <c r="L59" s="1909">
        <f ca="1">IF(ISERROR(POWER(1+L53,L48-L49)*(POWER(1+L53,L49)-1)/(POWER(1+L53,L48)-1)),0,POWER(1+L53,L48-L49)*(POWER(1+L53,L49)-1)/(POWER(1+L53,L48)-1))</f>
        <v>0</v>
      </c>
      <c r="O59" s="2397" t="s">
        <v>2380</v>
      </c>
      <c r="P59" s="2398" t="s">
        <v>2411</v>
      </c>
      <c r="Q59" s="2399" t="e">
        <f ca="1">L61</f>
        <v>#DIV/0!</v>
      </c>
      <c r="R59" s="2402" t="s">
        <v>2413</v>
      </c>
    </row>
    <row r="60" spans="1:18" s="2060" customFormat="1" ht="29.25" thickBot="1">
      <c r="A60" s="2097"/>
      <c r="B60" s="2098"/>
      <c r="C60" s="2098"/>
      <c r="I60" s="3168" t="s">
        <v>2359</v>
      </c>
      <c r="J60" s="3169" t="str">
        <f ca="1">IF(OR(M48="住宅",J52&lt;L49,J57="是"),"——",ROUND(C30*J59,0))</f>
        <v>——</v>
      </c>
      <c r="K60" s="3126" t="s">
        <v>2364</v>
      </c>
      <c r="L60" s="1909">
        <f ca="1">IF(ISERROR(POWER(1+L53,L48-J52)*(POWER(1+L53,J52)-1)/(POWER(1+L53,L48)-1)),0,POWER(1+L53,L48-J52)*(POWER(1+L53,J52)-1)/(POWER(1+L53,L48)-1))</f>
        <v>0</v>
      </c>
      <c r="O60" s="2400" t="s">
        <v>2382</v>
      </c>
      <c r="P60" s="2398" t="s">
        <v>2412</v>
      </c>
      <c r="Q60" s="2399">
        <f>IF(L56="比较法",L50,IF(L56="基准地价",L51,0))</f>
        <v>0</v>
      </c>
      <c r="R60" s="2398" t="s">
        <v>2379</v>
      </c>
    </row>
    <row r="61" spans="1:18" s="2060" customFormat="1" ht="15.75" thickBot="1">
      <c r="A61" s="2097"/>
      <c r="B61" s="2098"/>
      <c r="C61" s="2098"/>
      <c r="I61" s="3170" t="s">
        <v>2360</v>
      </c>
      <c r="J61" s="3171" t="str">
        <f ca="1">IF(OR(M48="住宅",J52&lt;L49,J57="是"),"0",ROUND(J60/(1+J53)^J54,0))</f>
        <v>0</v>
      </c>
      <c r="K61" s="3172" t="s">
        <v>2365</v>
      </c>
      <c r="L61" s="3171" t="e">
        <f ca="1">IF(OR(M48="住宅",L49&lt;J52),0,ROUND(L58*(L59/L60-1),0))</f>
        <v>#DIV/0!</v>
      </c>
      <c r="O61" s="2400" t="s">
        <v>2383</v>
      </c>
      <c r="P61" s="2398" t="s">
        <v>2392</v>
      </c>
      <c r="Q61" s="2401">
        <f>L53</f>
        <v>0</v>
      </c>
      <c r="R61" s="2402"/>
    </row>
    <row r="62" spans="1:18" s="2060" customFormat="1" ht="20.25" thickBot="1">
      <c r="A62" s="2097"/>
      <c r="B62" s="2098"/>
      <c r="C62" s="2098"/>
      <c r="K62" s="2087"/>
      <c r="O62" s="2400" t="s">
        <v>2385</v>
      </c>
      <c r="P62" s="2398" t="s">
        <v>2393</v>
      </c>
      <c r="Q62" s="2399">
        <f ca="1">L59</f>
        <v>0</v>
      </c>
      <c r="R62" s="2402" t="s">
        <v>2394</v>
      </c>
    </row>
    <row r="63" spans="1:18" s="2060" customFormat="1" ht="20.25" thickBot="1">
      <c r="A63" s="2097"/>
      <c r="B63" s="2098"/>
      <c r="C63" s="2098"/>
      <c r="I63" s="3173" t="s">
        <v>2366</v>
      </c>
      <c r="J63" s="3174" t="s">
        <v>2367</v>
      </c>
      <c r="K63" s="3174" t="s">
        <v>2368</v>
      </c>
      <c r="L63" s="3174" t="s">
        <v>2349</v>
      </c>
      <c r="M63" s="3175" t="s">
        <v>2942</v>
      </c>
      <c r="O63" s="2400" t="s">
        <v>2387</v>
      </c>
      <c r="P63" s="2398" t="s">
        <v>2395</v>
      </c>
      <c r="Q63" s="2399">
        <f ca="1">L60</f>
        <v>0</v>
      </c>
      <c r="R63" s="2402" t="s">
        <v>2396</v>
      </c>
    </row>
    <row r="64" spans="1:18" s="2060" customFormat="1" ht="15.75" thickBot="1">
      <c r="A64" s="2097"/>
      <c r="B64" s="2098"/>
      <c r="C64" s="2098"/>
      <c r="I64" s="3173" t="s">
        <v>2369</v>
      </c>
      <c r="J64" s="3174">
        <v>70</v>
      </c>
      <c r="K64" s="3174">
        <v>50</v>
      </c>
      <c r="L64" s="3174">
        <v>80</v>
      </c>
      <c r="M64" s="3176">
        <v>0.02</v>
      </c>
      <c r="O64" s="2397" t="s">
        <v>2390</v>
      </c>
      <c r="P64" s="2398" t="s">
        <v>2407</v>
      </c>
      <c r="Q64" s="2399" t="e">
        <f ca="1">Q58+Q59</f>
        <v>#DIV/0!</v>
      </c>
      <c r="R64" s="2402" t="s">
        <v>2391</v>
      </c>
    </row>
    <row r="65" spans="1:18" s="2060" customFormat="1" ht="16.5" thickBot="1">
      <c r="A65" s="2097"/>
      <c r="B65" s="2098"/>
      <c r="C65" s="2098"/>
      <c r="I65" s="3173" t="s">
        <v>2370</v>
      </c>
      <c r="J65" s="3174">
        <v>50</v>
      </c>
      <c r="K65" s="3174">
        <v>35</v>
      </c>
      <c r="L65" s="3174">
        <v>60</v>
      </c>
      <c r="M65" s="846">
        <v>0</v>
      </c>
      <c r="O65" s="2403" t="s">
        <v>2414</v>
      </c>
      <c r="P65" s="1593"/>
      <c r="Q65" s="1605"/>
      <c r="R65" s="1593"/>
    </row>
    <row r="66" spans="1:18" s="2060" customFormat="1" ht="15.75" thickBot="1">
      <c r="A66" s="2097"/>
      <c r="B66" s="2098"/>
      <c r="C66" s="2098"/>
      <c r="I66" s="3173" t="s">
        <v>2371</v>
      </c>
      <c r="J66" s="3174">
        <v>40</v>
      </c>
      <c r="K66" s="3174">
        <v>30</v>
      </c>
      <c r="L66" s="3174">
        <v>50</v>
      </c>
      <c r="M66" s="3176">
        <v>0.02</v>
      </c>
      <c r="O66" s="2394" t="s">
        <v>2374</v>
      </c>
      <c r="P66" s="2395" t="s">
        <v>2375</v>
      </c>
      <c r="Q66" s="2396" t="s">
        <v>2376</v>
      </c>
      <c r="R66" s="2395" t="s">
        <v>2377</v>
      </c>
    </row>
    <row r="67" spans="1:18" s="2060" customFormat="1" ht="15.75" thickBot="1">
      <c r="A67" s="2097"/>
      <c r="B67" s="2098"/>
      <c r="C67" s="2098"/>
      <c r="K67" s="2087"/>
      <c r="O67" s="2397" t="s">
        <v>2378</v>
      </c>
      <c r="P67" s="2398" t="s">
        <v>2404</v>
      </c>
      <c r="Q67" s="2399">
        <f ca="1">C41+J31</f>
        <v>0</v>
      </c>
      <c r="R67" s="2398" t="s">
        <v>2379</v>
      </c>
    </row>
    <row r="68" spans="1:18" s="2060" customFormat="1" ht="20.25" thickBot="1">
      <c r="A68" s="2097"/>
      <c r="B68" s="2098"/>
      <c r="C68" s="2098"/>
      <c r="K68" s="2087"/>
      <c r="O68" s="2397" t="s">
        <v>2380</v>
      </c>
      <c r="P68" s="2398" t="s">
        <v>2411</v>
      </c>
      <c r="Q68" s="2399" t="e">
        <f ca="1">L61</f>
        <v>#DIV/0!</v>
      </c>
      <c r="R68" s="2402" t="s">
        <v>2413</v>
      </c>
    </row>
    <row r="69" spans="1:18" s="2060" customFormat="1" ht="21.75" thickBot="1">
      <c r="A69" s="2097"/>
      <c r="B69" s="2098"/>
      <c r="C69" s="2098"/>
      <c r="K69" s="2087"/>
      <c r="O69" s="2400" t="s">
        <v>2382</v>
      </c>
      <c r="P69" s="2398" t="s">
        <v>2412</v>
      </c>
      <c r="Q69" s="2404">
        <f ca="1">L52</f>
        <v>0</v>
      </c>
      <c r="R69" s="2405" t="s">
        <v>2415</v>
      </c>
    </row>
    <row r="70" spans="1:18" s="2060" customFormat="1" ht="20.25" thickBot="1">
      <c r="A70" s="2097"/>
      <c r="B70" s="2098"/>
      <c r="C70" s="2098"/>
      <c r="K70" s="2087"/>
      <c r="O70" s="2400" t="s">
        <v>2383</v>
      </c>
      <c r="P70" s="2406" t="s">
        <v>2397</v>
      </c>
      <c r="Q70" s="2399">
        <f ca="1">ROUND(Q71-Q72*Q73,0)</f>
        <v>0</v>
      </c>
      <c r="R70" s="2402"/>
    </row>
    <row r="71" spans="1:18" s="2060" customFormat="1" ht="15.75" thickBot="1">
      <c r="A71" s="2097"/>
      <c r="B71" s="2098"/>
      <c r="C71" s="2098"/>
      <c r="K71" s="2087"/>
      <c r="O71" s="2400" t="s">
        <v>2398</v>
      </c>
      <c r="P71" s="2406" t="s">
        <v>2399</v>
      </c>
      <c r="Q71" s="2399">
        <f ca="1">C42</f>
        <v>0</v>
      </c>
      <c r="R71" s="2398" t="s">
        <v>2379</v>
      </c>
    </row>
    <row r="72" spans="1:18" s="2060" customFormat="1" ht="15.75" thickBot="1">
      <c r="A72" s="2097"/>
      <c r="B72" s="2098"/>
      <c r="C72" s="2098"/>
      <c r="K72" s="2087"/>
      <c r="O72" s="2400" t="s">
        <v>2400</v>
      </c>
      <c r="P72" s="2406" t="s">
        <v>2401</v>
      </c>
      <c r="Q72" s="2399">
        <f ca="1">C15</f>
        <v>0</v>
      </c>
      <c r="R72" s="2398" t="s">
        <v>2379</v>
      </c>
    </row>
    <row r="73" spans="1:18" s="2060" customFormat="1" ht="15.75" thickBot="1">
      <c r="A73" s="2097"/>
      <c r="B73" s="2098"/>
      <c r="C73" s="2098"/>
      <c r="K73" s="2087"/>
      <c r="O73" s="2400" t="s">
        <v>2402</v>
      </c>
      <c r="P73" s="2406" t="s">
        <v>2403</v>
      </c>
      <c r="Q73" s="2401">
        <f ca="1">F43</f>
        <v>0</v>
      </c>
      <c r="R73" s="2402"/>
    </row>
    <row r="74" spans="1:18" s="2060" customFormat="1" ht="15.75" thickBot="1">
      <c r="A74" s="2097"/>
      <c r="B74" s="2098"/>
      <c r="C74" s="2098"/>
      <c r="K74" s="2087"/>
      <c r="O74" s="2400" t="s">
        <v>2385</v>
      </c>
      <c r="P74" s="2398" t="s">
        <v>2392</v>
      </c>
      <c r="Q74" s="2401">
        <f>L53</f>
        <v>0</v>
      </c>
      <c r="R74" s="2402"/>
    </row>
    <row r="75" spans="1:18" s="2060" customFormat="1" ht="20.25" thickBot="1">
      <c r="A75" s="2097"/>
      <c r="B75" s="2098"/>
      <c r="C75" s="2098"/>
      <c r="K75" s="2087"/>
      <c r="O75" s="2400" t="s">
        <v>2387</v>
      </c>
      <c r="P75" s="2398" t="s">
        <v>2393</v>
      </c>
      <c r="Q75" s="2399">
        <f ca="1">L59</f>
        <v>0</v>
      </c>
      <c r="R75" s="2402" t="s">
        <v>2394</v>
      </c>
    </row>
    <row r="76" spans="1:18" s="2060" customFormat="1" ht="20.25" thickBot="1">
      <c r="A76" s="2097"/>
      <c r="B76" s="2098"/>
      <c r="C76" s="2098"/>
      <c r="K76" s="2087"/>
      <c r="O76" s="2400" t="s">
        <v>2416</v>
      </c>
      <c r="P76" s="2398" t="s">
        <v>2395</v>
      </c>
      <c r="Q76" s="2399">
        <f ca="1">L60</f>
        <v>0</v>
      </c>
      <c r="R76" s="2402" t="s">
        <v>2396</v>
      </c>
    </row>
    <row r="77" spans="1:18" s="2060" customFormat="1" ht="15.75" thickBot="1">
      <c r="A77" s="2097"/>
      <c r="B77" s="2098"/>
      <c r="C77" s="2098"/>
      <c r="K77" s="2087"/>
      <c r="O77" s="2397" t="s">
        <v>2390</v>
      </c>
      <c r="P77" s="2398" t="s">
        <v>2407</v>
      </c>
      <c r="Q77" s="2399" t="e">
        <f ca="1">Q67+Q68</f>
        <v>#DIV/0!</v>
      </c>
      <c r="R77" s="2402"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56.25">
      <c r="A7" s="1796" t="s">
        <v>2746</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本次估价对象为出让国有建设用地使用权，《国有土地使用证》[高国用（2011）第538号]证载土地终止日期为商业2045年3月28日。截至估价期日，出让国有建设用地使用权剩余土地使用年限为商业用地26.36年。</v>
      </c>
    </row>
    <row r="23" spans="1:1" ht="18.75">
      <c r="A23" s="1792" t="str">
        <f>IF(项目基本情况!B16="出让","本次评估设定估价对象剩余土地使用年限为"&amp;项目基本情况!D20&amp;"。","")</f>
        <v>本次评估设定估价对象剩余土地使用年限为商业用地26.36年。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8" t="s">
        <v>2575</v>
      </c>
      <c r="C1" s="3448"/>
      <c r="D1" s="3448"/>
      <c r="E1" s="3448"/>
      <c r="F1" s="3448"/>
      <c r="G1" s="3447" t="s">
        <v>2576</v>
      </c>
      <c r="H1" s="3447"/>
      <c r="I1" s="3447"/>
      <c r="J1" s="3447"/>
      <c r="K1" s="3447"/>
      <c r="L1" s="3447"/>
      <c r="N1" s="3447" t="s">
        <v>2577</v>
      </c>
      <c r="O1" s="3447"/>
      <c r="P1" s="3447"/>
      <c r="Q1" s="3447"/>
      <c r="R1" s="2653"/>
      <c r="S1" s="3447" t="s">
        <v>2578</v>
      </c>
      <c r="T1" s="3447"/>
      <c r="U1" s="3447"/>
      <c r="V1" s="3447"/>
      <c r="X1" s="3446" t="s">
        <v>2638</v>
      </c>
      <c r="Y1" s="3447"/>
      <c r="Z1" s="3447"/>
      <c r="AA1" s="3447"/>
      <c r="AB1" s="3447"/>
      <c r="AD1" s="3446" t="s">
        <v>2642</v>
      </c>
      <c r="AE1" s="3447"/>
      <c r="AF1" s="3447"/>
      <c r="AG1" s="3447"/>
      <c r="AH1" s="3447"/>
    </row>
    <row r="2" spans="1:34" s="2755" customFormat="1" ht="14.25" thickBot="1">
      <c r="B2" s="2763" t="s">
        <v>2579</v>
      </c>
      <c r="C2" s="2763" t="s">
        <v>2640</v>
      </c>
      <c r="D2" s="2756" t="s">
        <v>1644</v>
      </c>
      <c r="E2" s="2756" t="s">
        <v>1951</v>
      </c>
      <c r="F2" s="2763" t="s">
        <v>2641</v>
      </c>
      <c r="G2" s="2759"/>
      <c r="H2" s="2758"/>
      <c r="I2" s="2763" t="s">
        <v>2956</v>
      </c>
      <c r="J2" s="2756" t="s">
        <v>2958</v>
      </c>
      <c r="K2" s="2756" t="s">
        <v>2959</v>
      </c>
      <c r="L2" s="2763" t="s">
        <v>2960</v>
      </c>
      <c r="N2" s="2763" t="s">
        <v>2579</v>
      </c>
      <c r="O2" s="2756" t="s">
        <v>2957</v>
      </c>
      <c r="P2" s="2756" t="s">
        <v>1951</v>
      </c>
      <c r="Q2" s="2763" t="s">
        <v>2641</v>
      </c>
      <c r="R2" s="2757"/>
      <c r="S2" s="2763" t="s">
        <v>2579</v>
      </c>
      <c r="T2" s="2756" t="s">
        <v>2957</v>
      </c>
      <c r="U2" s="2756" t="s">
        <v>1951</v>
      </c>
      <c r="V2" s="2763" t="s">
        <v>2641</v>
      </c>
      <c r="X2" s="2763" t="s">
        <v>2579</v>
      </c>
      <c r="Y2" s="2763" t="s">
        <v>2640</v>
      </c>
      <c r="Z2" s="2756" t="s">
        <v>1644</v>
      </c>
      <c r="AA2" s="2756" t="s">
        <v>1951</v>
      </c>
      <c r="AB2" s="2763" t="s">
        <v>2641</v>
      </c>
      <c r="AD2" s="2763" t="s">
        <v>2579</v>
      </c>
      <c r="AE2" s="2763" t="s">
        <v>2640</v>
      </c>
      <c r="AF2" s="2756" t="s">
        <v>1644</v>
      </c>
      <c r="AG2" s="2756" t="s">
        <v>1951</v>
      </c>
      <c r="AH2" s="2763" t="s">
        <v>2641</v>
      </c>
    </row>
    <row r="3" spans="1:34" s="3134" customFormat="1" ht="14.25">
      <c r="A3" s="3146" t="s">
        <v>2969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2980</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4">
        <v>3</v>
      </c>
      <c r="I5" s="3128">
        <v>0</v>
      </c>
      <c r="J5" s="3128">
        <v>0</v>
      </c>
      <c r="K5" s="3128">
        <v>0</v>
      </c>
      <c r="L5" s="3128">
        <v>0</v>
      </c>
      <c r="N5" s="2761">
        <f t="shared" ref="N5" si="6">I5/100</f>
        <v>0</v>
      </c>
      <c r="O5" s="2761">
        <f t="shared" ref="O5" si="7">J5/100</f>
        <v>0</v>
      </c>
      <c r="P5" s="2761">
        <f t="shared" ref="P5" si="8">K5/100</f>
        <v>0</v>
      </c>
      <c r="Q5" s="2761">
        <f t="shared" ref="Q5" si="9">L5/100</f>
        <v>0</v>
      </c>
      <c r="R5" s="3116"/>
      <c r="S5" s="3117"/>
      <c r="T5" s="3116"/>
      <c r="U5" s="3116"/>
      <c r="V5" s="3116"/>
      <c r="W5" s="3144" t="s">
        <v>2970</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0" customFormat="1" ht="13.5" thickBot="1">
      <c r="A6" s="2654" t="s">
        <v>2981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2971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970</v>
      </c>
      <c r="B12" s="2660">
        <v>392</v>
      </c>
      <c r="C12" s="2660">
        <v>302</v>
      </c>
      <c r="D12" s="2660">
        <f t="shared" si="23"/>
        <v>302</v>
      </c>
      <c r="E12" s="2660">
        <v>553</v>
      </c>
      <c r="F12" s="2661">
        <v>266</v>
      </c>
      <c r="G12" s="3445">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969</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3"/>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959</v>
      </c>
      <c r="B14" s="2668">
        <f t="shared" si="44"/>
        <v>360.06949782209392</v>
      </c>
      <c r="C14" s="2668">
        <f t="shared" si="44"/>
        <v>289.84672674747821</v>
      </c>
      <c r="D14" s="2668">
        <f t="shared" si="45"/>
        <v>289.84672674747821</v>
      </c>
      <c r="E14" s="2668">
        <f t="shared" si="46"/>
        <v>501.06543001181495</v>
      </c>
      <c r="F14" s="2668">
        <f t="shared" si="46"/>
        <v>256.82882500744967</v>
      </c>
      <c r="G14" s="3443"/>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968</v>
      </c>
      <c r="B15" s="2668">
        <f t="shared" si="44"/>
        <v>346.720748986128</v>
      </c>
      <c r="C15" s="2668">
        <f t="shared" si="44"/>
        <v>284.30282172386285</v>
      </c>
      <c r="D15" s="2668">
        <f t="shared" si="45"/>
        <v>284.30282172386285</v>
      </c>
      <c r="E15" s="2668">
        <f t="shared" si="46"/>
        <v>479.58023546306947</v>
      </c>
      <c r="F15" s="2668">
        <f t="shared" si="46"/>
        <v>253.25788877571213</v>
      </c>
      <c r="G15" s="3444"/>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967</v>
      </c>
      <c r="B16" s="2660">
        <v>333</v>
      </c>
      <c r="C16" s="2660">
        <v>277</v>
      </c>
      <c r="D16" s="2660">
        <f t="shared" si="45"/>
        <v>277</v>
      </c>
      <c r="E16" s="2660">
        <v>459</v>
      </c>
      <c r="F16" s="2661">
        <v>249</v>
      </c>
      <c r="G16" s="3442">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966</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3"/>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965</v>
      </c>
      <c r="B18" s="2668">
        <f t="shared" si="48"/>
        <v>322.34053690220776</v>
      </c>
      <c r="C18" s="2668">
        <f t="shared" si="48"/>
        <v>271.46160770422546</v>
      </c>
      <c r="D18" s="2668">
        <f t="shared" si="45"/>
        <v>271.46160770422546</v>
      </c>
      <c r="E18" s="2668">
        <f t="shared" si="49"/>
        <v>442.69434542172456</v>
      </c>
      <c r="F18" s="2668">
        <f t="shared" si="49"/>
        <v>241.34030753190925</v>
      </c>
      <c r="G18" s="3443"/>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964</v>
      </c>
      <c r="B19" s="2668">
        <f t="shared" si="48"/>
        <v>319.87748030386797</v>
      </c>
      <c r="C19" s="2668">
        <f t="shared" si="48"/>
        <v>269.60135833173649</v>
      </c>
      <c r="D19" s="2668">
        <f t="shared" si="45"/>
        <v>269.60135833173649</v>
      </c>
      <c r="E19" s="2668">
        <f t="shared" si="49"/>
        <v>439.18089823583784</v>
      </c>
      <c r="F19" s="2668">
        <f t="shared" si="49"/>
        <v>239.23503918706311</v>
      </c>
      <c r="G19" s="3444"/>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963</v>
      </c>
      <c r="B20" s="2682">
        <v>318</v>
      </c>
      <c r="C20" s="2682">
        <v>268</v>
      </c>
      <c r="D20" s="2682">
        <f t="shared" si="45"/>
        <v>268</v>
      </c>
      <c r="E20" s="2682">
        <v>437</v>
      </c>
      <c r="F20" s="2683">
        <v>237</v>
      </c>
      <c r="G20" s="3442">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962</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3"/>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961</v>
      </c>
      <c r="B22" s="2668">
        <f t="shared" si="50"/>
        <v>314.72141172386546</v>
      </c>
      <c r="C22" s="2668">
        <f t="shared" si="50"/>
        <v>263.03901319069001</v>
      </c>
      <c r="D22" s="2668">
        <f t="shared" si="45"/>
        <v>263.03901319069001</v>
      </c>
      <c r="E22" s="2668">
        <f t="shared" si="51"/>
        <v>433.65745506782821</v>
      </c>
      <c r="F22" s="2668">
        <f t="shared" si="51"/>
        <v>233.23005080045735</v>
      </c>
      <c r="G22" s="3443"/>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960</v>
      </c>
      <c r="B23" s="2687">
        <f t="shared" si="50"/>
        <v>307.34512863658733</v>
      </c>
      <c r="C23" s="2687">
        <f t="shared" si="50"/>
        <v>257.80556031626975</v>
      </c>
      <c r="D23" s="2687">
        <f t="shared" si="45"/>
        <v>257.80556031626975</v>
      </c>
      <c r="E23" s="2687">
        <f t="shared" si="51"/>
        <v>422.70928459677179</v>
      </c>
      <c r="F23" s="2687">
        <f t="shared" si="51"/>
        <v>229.73803270336617</v>
      </c>
      <c r="G23" s="3444"/>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49">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50"/>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50"/>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51"/>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42">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43"/>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43"/>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44"/>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42">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3">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43">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44">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42">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3">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43">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44">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42">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3">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43">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44">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42">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3">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43">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44">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42">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3">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43">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44">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42">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3">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43">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44">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42">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3">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43">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44">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42">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3">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43">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44">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42">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43">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43">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44">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42">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43">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43">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44">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52" t="s">
        <v>2470</v>
      </c>
      <c r="B1" s="3453"/>
      <c r="C1" s="3454"/>
      <c r="D1" s="3455">
        <f>SUM(I10,I15,I20,I21,I23)</f>
        <v>0</v>
      </c>
      <c r="E1" s="3455"/>
      <c r="F1" s="3455"/>
      <c r="G1" s="3455"/>
      <c r="H1" s="3455"/>
      <c r="I1" s="3456"/>
    </row>
    <row r="2" spans="1:9">
      <c r="A2" s="3457" t="s">
        <v>2471</v>
      </c>
      <c r="B2" s="3458" t="s">
        <v>2472</v>
      </c>
      <c r="C2" s="3458"/>
      <c r="D2" s="2506" t="s">
        <v>2473</v>
      </c>
      <c r="E2" s="2506" t="s">
        <v>2474</v>
      </c>
      <c r="F2" s="2506" t="s">
        <v>2475</v>
      </c>
      <c r="G2" s="2506" t="s">
        <v>2476</v>
      </c>
      <c r="H2" s="2506" t="s">
        <v>2477</v>
      </c>
      <c r="I2" s="2507" t="s">
        <v>2478</v>
      </c>
    </row>
    <row r="3" spans="1:9">
      <c r="A3" s="3457"/>
      <c r="B3" s="3458" t="s">
        <v>2479</v>
      </c>
      <c r="C3" s="3458"/>
      <c r="D3" s="2508"/>
      <c r="E3" s="2506"/>
      <c r="F3" s="2509"/>
      <c r="G3" s="2509"/>
      <c r="H3" s="2510"/>
      <c r="I3" s="2511">
        <f>ROUND(D3*E3*F3*G3*H3/10000,0)</f>
        <v>0</v>
      </c>
    </row>
    <row r="4" spans="1:9">
      <c r="A4" s="3457"/>
      <c r="B4" s="3458" t="s">
        <v>2480</v>
      </c>
      <c r="C4" s="3458"/>
      <c r="D4" s="2508"/>
      <c r="E4" s="2506"/>
      <c r="F4" s="2509"/>
      <c r="G4" s="2509"/>
      <c r="H4" s="2510"/>
      <c r="I4" s="2511">
        <f t="shared" ref="I4:I9" si="0">ROUND(D4*E4*F4*G4*H4/10000,0)</f>
        <v>0</v>
      </c>
    </row>
    <row r="5" spans="1:9">
      <c r="A5" s="3457"/>
      <c r="B5" s="3458" t="s">
        <v>2481</v>
      </c>
      <c r="C5" s="3458"/>
      <c r="D5" s="2508"/>
      <c r="E5" s="2506"/>
      <c r="F5" s="2509"/>
      <c r="G5" s="2509"/>
      <c r="H5" s="2510"/>
      <c r="I5" s="2511">
        <f t="shared" si="0"/>
        <v>0</v>
      </c>
    </row>
    <row r="6" spans="1:9">
      <c r="A6" s="3457"/>
      <c r="B6" s="3458" t="s">
        <v>2482</v>
      </c>
      <c r="C6" s="3458"/>
      <c r="D6" s="2508"/>
      <c r="E6" s="2506"/>
      <c r="F6" s="2509"/>
      <c r="G6" s="2509"/>
      <c r="H6" s="2510"/>
      <c r="I6" s="2511">
        <f t="shared" si="0"/>
        <v>0</v>
      </c>
    </row>
    <row r="7" spans="1:9">
      <c r="A7" s="3457"/>
      <c r="B7" s="3458" t="s">
        <v>2483</v>
      </c>
      <c r="C7" s="3458"/>
      <c r="D7" s="2508"/>
      <c r="E7" s="2506"/>
      <c r="F7" s="2509"/>
      <c r="G7" s="2509"/>
      <c r="H7" s="2510"/>
      <c r="I7" s="2511">
        <f t="shared" si="0"/>
        <v>0</v>
      </c>
    </row>
    <row r="8" spans="1:9">
      <c r="A8" s="3457"/>
      <c r="B8" s="3458" t="s">
        <v>2484</v>
      </c>
      <c r="C8" s="3458"/>
      <c r="D8" s="2508"/>
      <c r="E8" s="2506"/>
      <c r="F8" s="2509"/>
      <c r="G8" s="2509"/>
      <c r="H8" s="2510"/>
      <c r="I8" s="2511">
        <f t="shared" si="0"/>
        <v>0</v>
      </c>
    </row>
    <row r="9" spans="1:9">
      <c r="A9" s="3457"/>
      <c r="B9" s="3458" t="s">
        <v>2485</v>
      </c>
      <c r="C9" s="3458"/>
      <c r="D9" s="2508"/>
      <c r="E9" s="2506"/>
      <c r="F9" s="2509"/>
      <c r="G9" s="2509"/>
      <c r="H9" s="2510"/>
      <c r="I9" s="2511">
        <f t="shared" si="0"/>
        <v>0</v>
      </c>
    </row>
    <row r="10" spans="1:9">
      <c r="A10" s="3457"/>
      <c r="B10" s="3459" t="s">
        <v>2486</v>
      </c>
      <c r="C10" s="3459"/>
      <c r="D10" s="2512">
        <v>527</v>
      </c>
      <c r="E10" s="2512" t="e">
        <f>ROUND(D1*10000/D10/H9,0)</f>
        <v>#DIV/0!</v>
      </c>
      <c r="F10" s="2513"/>
      <c r="G10" s="2513"/>
      <c r="H10" s="2514"/>
      <c r="I10" s="2515">
        <f>SUM(I3:I9)</f>
        <v>0</v>
      </c>
    </row>
    <row r="11" spans="1:9" ht="14.25">
      <c r="A11" s="3457" t="s">
        <v>2487</v>
      </c>
      <c r="B11" s="3458" t="s">
        <v>2488</v>
      </c>
      <c r="C11" s="3458"/>
      <c r="D11" s="2508" t="s">
        <v>2489</v>
      </c>
      <c r="E11" s="2508" t="s">
        <v>2490</v>
      </c>
      <c r="F11" s="2509" t="s">
        <v>2491</v>
      </c>
      <c r="G11" s="2509" t="s">
        <v>2492</v>
      </c>
      <c r="H11" s="2516" t="s">
        <v>2493</v>
      </c>
      <c r="I11" s="2507" t="s">
        <v>2494</v>
      </c>
    </row>
    <row r="12" spans="1:9">
      <c r="A12" s="3457"/>
      <c r="B12" s="3458" t="s">
        <v>2495</v>
      </c>
      <c r="C12" s="3458"/>
      <c r="D12" s="2508"/>
      <c r="E12" s="2508"/>
      <c r="F12" s="2509"/>
      <c r="G12" s="2510"/>
      <c r="H12" s="2517"/>
      <c r="I12" s="2507">
        <f>ROUND(D12*E12*F12*G12/10000,0)</f>
        <v>0</v>
      </c>
    </row>
    <row r="13" spans="1:9">
      <c r="A13" s="3457"/>
      <c r="B13" s="3458" t="s">
        <v>2496</v>
      </c>
      <c r="C13" s="3458"/>
      <c r="D13" s="2508"/>
      <c r="E13" s="2508"/>
      <c r="F13" s="2509"/>
      <c r="G13" s="2510"/>
      <c r="H13" s="2517"/>
      <c r="I13" s="2507">
        <f>ROUND(D13*E13*F13*G13/10000,0)</f>
        <v>0</v>
      </c>
    </row>
    <row r="14" spans="1:9">
      <c r="A14" s="3457"/>
      <c r="B14" s="3458" t="s">
        <v>2497</v>
      </c>
      <c r="C14" s="3458"/>
      <c r="D14" s="2508"/>
      <c r="E14" s="2508"/>
      <c r="F14" s="2509"/>
      <c r="G14" s="2510"/>
      <c r="H14" s="2517"/>
      <c r="I14" s="2507">
        <f>ROUND(D14*E14*F14*G14/10000,0)</f>
        <v>0</v>
      </c>
    </row>
    <row r="15" spans="1:9">
      <c r="A15" s="3457"/>
      <c r="B15" s="3459" t="s">
        <v>2486</v>
      </c>
      <c r="C15" s="3459"/>
      <c r="D15" s="2512"/>
      <c r="E15" s="2512">
        <f>SUM(E12:E14)</f>
        <v>0</v>
      </c>
      <c r="F15" s="2513"/>
      <c r="G15" s="2510"/>
      <c r="H15" s="2517"/>
      <c r="I15" s="2518">
        <f>SUM(I12:I14)</f>
        <v>0</v>
      </c>
    </row>
    <row r="16" spans="1:9" ht="24">
      <c r="A16" s="3457" t="s">
        <v>2498</v>
      </c>
      <c r="B16" s="3458" t="s">
        <v>2499</v>
      </c>
      <c r="C16" s="3458"/>
      <c r="D16" s="2508" t="s">
        <v>2500</v>
      </c>
      <c r="E16" s="2519" t="s">
        <v>2501</v>
      </c>
      <c r="F16" s="2509" t="s">
        <v>2502</v>
      </c>
      <c r="G16" s="2510" t="s">
        <v>2492</v>
      </c>
      <c r="H16" s="2516" t="s">
        <v>2493</v>
      </c>
      <c r="I16" s="2507" t="s">
        <v>2494</v>
      </c>
    </row>
    <row r="17" spans="1:9" ht="14.25">
      <c r="A17" s="3457"/>
      <c r="B17" s="3458" t="s">
        <v>2503</v>
      </c>
      <c r="C17" s="3458"/>
      <c r="D17" s="2508"/>
      <c r="E17" s="2508"/>
      <c r="F17" s="2509"/>
      <c r="G17" s="2510"/>
      <c r="H17" s="2520"/>
      <c r="I17" s="2521">
        <f>ROUND(D17*E17*F17*G17/10000,0)</f>
        <v>0</v>
      </c>
    </row>
    <row r="18" spans="1:9" ht="14.25">
      <c r="A18" s="3457"/>
      <c r="B18" s="3458" t="s">
        <v>2504</v>
      </c>
      <c r="C18" s="3458"/>
      <c r="D18" s="2508"/>
      <c r="E18" s="2508"/>
      <c r="F18" s="2509"/>
      <c r="G18" s="2510"/>
      <c r="H18" s="2520"/>
      <c r="I18" s="2521">
        <f>ROUND(D18*E18*F18*G18/10000,0)</f>
        <v>0</v>
      </c>
    </row>
    <row r="19" spans="1:9" ht="14.25">
      <c r="A19" s="3457"/>
      <c r="B19" s="3458" t="s">
        <v>2505</v>
      </c>
      <c r="C19" s="3458"/>
      <c r="D19" s="2508"/>
      <c r="E19" s="2508"/>
      <c r="F19" s="2509"/>
      <c r="G19" s="2510"/>
      <c r="H19" s="2520"/>
      <c r="I19" s="2521">
        <f>ROUND(D19*E19*F19*G19/10000,0)</f>
        <v>0</v>
      </c>
    </row>
    <row r="20" spans="1:9">
      <c r="A20" s="3457"/>
      <c r="B20" s="3459" t="s">
        <v>2486</v>
      </c>
      <c r="C20" s="3459"/>
      <c r="D20" s="2512">
        <f>SUM(D17:D19)</f>
        <v>0</v>
      </c>
      <c r="E20" s="2512"/>
      <c r="F20" s="2513"/>
      <c r="G20" s="2510"/>
      <c r="H20" s="2517"/>
      <c r="I20" s="2518">
        <f>SUM(I17:I19)</f>
        <v>0</v>
      </c>
    </row>
    <row r="21" spans="1:9">
      <c r="A21" s="3457" t="s">
        <v>2506</v>
      </c>
      <c r="B21" s="3461"/>
      <c r="C21" s="3461"/>
      <c r="D21" s="3461"/>
      <c r="E21" s="3461"/>
      <c r="F21" s="3461"/>
      <c r="G21" s="3461"/>
      <c r="H21" s="2522">
        <v>0.1</v>
      </c>
      <c r="I21" s="2515">
        <f>ROUND(I10*H21,0)</f>
        <v>0</v>
      </c>
    </row>
    <row r="22" spans="1:9" ht="14.25">
      <c r="A22" s="3462" t="s">
        <v>2507</v>
      </c>
      <c r="B22" s="3463"/>
      <c r="C22" s="3464"/>
      <c r="D22" s="2523" t="s">
        <v>2508</v>
      </c>
      <c r="E22" s="2523" t="s">
        <v>2509</v>
      </c>
      <c r="F22" s="2524" t="s">
        <v>2510</v>
      </c>
      <c r="G22" s="2524" t="s">
        <v>2511</v>
      </c>
      <c r="H22" s="2516" t="s">
        <v>2512</v>
      </c>
      <c r="I22" s="2507" t="s">
        <v>2513</v>
      </c>
    </row>
    <row r="23" spans="1:9" ht="14.25" thickBot="1">
      <c r="A23" s="3465"/>
      <c r="B23" s="3466"/>
      <c r="C23" s="3467"/>
      <c r="D23" s="2525"/>
      <c r="E23" s="2525"/>
      <c r="F23" s="2525"/>
      <c r="G23" s="2526"/>
      <c r="H23" s="2527"/>
      <c r="I23" s="2528">
        <f>ROUND(E23*D23*F23*(1-G23)/10000,0)</f>
        <v>0</v>
      </c>
    </row>
    <row r="26" spans="1:9">
      <c r="A26" s="2529" t="s">
        <v>2514</v>
      </c>
      <c r="B26" s="2529"/>
      <c r="C26" s="2529"/>
      <c r="D26" s="2529"/>
      <c r="E26" s="3468">
        <f>C27-C30-C31-C32</f>
        <v>0</v>
      </c>
      <c r="F26" s="3468"/>
      <c r="G26" s="3468"/>
      <c r="H26" s="3043" t="s">
        <v>2842</v>
      </c>
    </row>
    <row r="27" spans="1:9">
      <c r="A27" s="2530">
        <v>1</v>
      </c>
      <c r="B27" s="2531" t="s">
        <v>2515</v>
      </c>
      <c r="C27" s="2531"/>
      <c r="D27" s="2531"/>
      <c r="E27" s="3469"/>
      <c r="F27" s="3469"/>
      <c r="G27" s="3469"/>
    </row>
    <row r="28" spans="1:9">
      <c r="A28" s="2532" t="s">
        <v>2516</v>
      </c>
      <c r="B28" s="2531" t="s">
        <v>2517</v>
      </c>
      <c r="C28" s="2531"/>
      <c r="D28" s="2531"/>
      <c r="E28" s="3469"/>
      <c r="F28" s="3469"/>
      <c r="G28" s="3469"/>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60"/>
      <c r="F32" s="3460"/>
      <c r="G32" s="3460"/>
    </row>
    <row r="33" spans="1:7" hidden="1">
      <c r="A33" s="3470" t="s">
        <v>2525</v>
      </c>
      <c r="B33" s="3471"/>
      <c r="C33" s="3471"/>
      <c r="D33" s="3472"/>
      <c r="E33" s="3468"/>
      <c r="F33" s="3468"/>
      <c r="G33" s="3468"/>
    </row>
    <row r="34" spans="1:7" hidden="1">
      <c r="A34" s="2534">
        <v>1</v>
      </c>
      <c r="B34" s="2531" t="s">
        <v>2526</v>
      </c>
      <c r="C34" s="2531"/>
      <c r="D34" s="2531"/>
      <c r="E34" s="3469"/>
      <c r="F34" s="3469"/>
      <c r="G34" s="3469"/>
    </row>
    <row r="35" spans="1:7" hidden="1">
      <c r="A35" s="2534">
        <v>2</v>
      </c>
      <c r="B35" s="2531" t="s">
        <v>2527</v>
      </c>
      <c r="C35" s="2531"/>
      <c r="D35" s="2531"/>
      <c r="E35" s="3469"/>
      <c r="F35" s="3469"/>
      <c r="G35" s="3469"/>
    </row>
    <row r="36" spans="1:7" hidden="1">
      <c r="A36" s="2534">
        <v>3</v>
      </c>
      <c r="B36" s="2531" t="s">
        <v>2528</v>
      </c>
      <c r="C36" s="2531"/>
      <c r="D36" s="2531"/>
      <c r="E36" s="3469"/>
      <c r="F36" s="3469"/>
      <c r="G36" s="3469"/>
    </row>
    <row r="37" spans="1:7" hidden="1">
      <c r="A37" s="2534">
        <v>4</v>
      </c>
      <c r="B37" s="2531" t="s">
        <v>2529</v>
      </c>
      <c r="C37" s="2531"/>
      <c r="D37" s="2531"/>
      <c r="E37" s="3469"/>
      <c r="F37" s="3469"/>
      <c r="G37" s="3469"/>
    </row>
    <row r="38" spans="1:7" hidden="1">
      <c r="A38" s="3470" t="s">
        <v>2530</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68">
        <v>1</v>
      </c>
      <c r="B7" s="748" t="s">
        <v>608</v>
      </c>
      <c r="C7" s="749">
        <f>C8+C9</f>
        <v>0</v>
      </c>
      <c r="D7" s="749"/>
      <c r="E7" s="750"/>
      <c r="F7" s="750"/>
      <c r="G7" s="2478"/>
    </row>
    <row r="8" spans="1:25" s="2184" customFormat="1" ht="13.5" customHeight="1">
      <c r="A8" s="2468" t="s">
        <v>2439</v>
      </c>
      <c r="B8" s="2471" t="s">
        <v>2441</v>
      </c>
      <c r="C8" s="2472"/>
      <c r="D8" s="749"/>
      <c r="E8" s="750"/>
      <c r="F8" s="750"/>
      <c r="G8" s="751"/>
    </row>
    <row r="9" spans="1:25" s="2184" customFormat="1" ht="13.5" customHeight="1">
      <c r="A9" s="2468" t="s">
        <v>2440</v>
      </c>
      <c r="B9" s="2471" t="s">
        <v>2442</v>
      </c>
      <c r="C9" s="2472"/>
      <c r="D9" s="749"/>
      <c r="E9" s="750"/>
      <c r="F9" s="750"/>
      <c r="G9" s="751"/>
    </row>
    <row r="10" spans="1:25" s="2184" customFormat="1" ht="36">
      <c r="A10" s="2468">
        <v>2</v>
      </c>
      <c r="B10" s="748" t="s">
        <v>612</v>
      </c>
      <c r="C10" s="749">
        <f>C11+C14+C15</f>
        <v>0</v>
      </c>
      <c r="D10" s="760">
        <f>'数据-汇总表'!E3</f>
        <v>782672.8</v>
      </c>
      <c r="E10" s="749">
        <f>'数据-取费表'!B31</f>
        <v>140</v>
      </c>
      <c r="F10" s="761"/>
      <c r="G10" s="759" t="s">
        <v>613</v>
      </c>
    </row>
    <row r="11" spans="1:25" s="2184" customFormat="1" ht="13.5" customHeight="1">
      <c r="A11" s="2468" t="s">
        <v>2439</v>
      </c>
      <c r="B11" s="752" t="s">
        <v>609</v>
      </c>
      <c r="C11" s="753">
        <f>'数据-取费表'!B29</f>
        <v>0</v>
      </c>
      <c r="D11" s="754"/>
      <c r="E11" s="753"/>
      <c r="F11" s="755"/>
      <c r="G11" s="2477" t="s">
        <v>2450</v>
      </c>
    </row>
    <row r="12" spans="1:25" s="2184" customFormat="1" ht="13.5" customHeight="1">
      <c r="A12" s="2475" t="s">
        <v>2447</v>
      </c>
      <c r="B12" s="756" t="s">
        <v>610</v>
      </c>
      <c r="C12" s="757">
        <f>ROUND(D12*E12/10000,0)</f>
        <v>0</v>
      </c>
      <c r="D12" s="758">
        <f>'数据-汇总表'!E5</f>
        <v>0</v>
      </c>
      <c r="E12" s="757">
        <f>'数据-取费表'!B27</f>
        <v>75</v>
      </c>
      <c r="F12" s="755"/>
      <c r="G12" s="759"/>
    </row>
    <row r="13" spans="1:25" s="2184" customFormat="1" ht="13.5" customHeight="1">
      <c r="A13" s="2475" t="s">
        <v>2446</v>
      </c>
      <c r="B13" s="756" t="s">
        <v>611</v>
      </c>
      <c r="C13" s="757">
        <f>ROUND(D13*E13/10000,0)</f>
        <v>5870</v>
      </c>
      <c r="D13" s="758">
        <f>'数据-汇总表'!E6</f>
        <v>782672.8</v>
      </c>
      <c r="E13" s="757">
        <f>'数据-取费表'!B28</f>
        <v>75</v>
      </c>
      <c r="F13" s="755"/>
      <c r="G13" s="759"/>
    </row>
    <row r="14" spans="1:25" s="2184" customFormat="1" ht="13.5" customHeight="1">
      <c r="A14" s="2468" t="s">
        <v>2440</v>
      </c>
      <c r="B14" s="2474" t="s">
        <v>2443</v>
      </c>
      <c r="C14" s="2472"/>
      <c r="D14" s="758"/>
      <c r="E14" s="757"/>
      <c r="F14" s="2473"/>
      <c r="G14" s="2476" t="s">
        <v>2448</v>
      </c>
    </row>
    <row r="15" spans="1:25" s="2184" customFormat="1" ht="13.5" customHeight="1">
      <c r="A15" s="2468" t="s">
        <v>2445</v>
      </c>
      <c r="B15" s="2474" t="s">
        <v>2444</v>
      </c>
      <c r="C15" s="2472"/>
      <c r="D15" s="758"/>
      <c r="E15" s="757"/>
      <c r="F15" s="2473"/>
      <c r="G15" s="2476" t="s">
        <v>2449</v>
      </c>
    </row>
    <row r="16" spans="1:25" s="2185" customFormat="1" ht="48">
      <c r="A16" s="2468">
        <v>3</v>
      </c>
      <c r="B16" s="748" t="s">
        <v>614</v>
      </c>
      <c r="C16" s="2472"/>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69">
        <v>4</v>
      </c>
      <c r="B17" s="748" t="s">
        <v>615</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69">
        <v>5</v>
      </c>
      <c r="B18" s="748" t="s">
        <v>616</v>
      </c>
      <c r="C18" s="749">
        <f>ROUND((C7+C10+C16)*F18,0)</f>
        <v>0</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68">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68">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68">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68">
        <v>9</v>
      </c>
      <c r="B22" s="748" t="s">
        <v>624</v>
      </c>
      <c r="C22" s="749">
        <f ca="1">ROUND(C21*F22,0)</f>
        <v>0</v>
      </c>
      <c r="D22" s="760"/>
      <c r="E22" s="749"/>
      <c r="F22" s="766">
        <f>'数据-取费表'!AP16</f>
        <v>0.72399999999999998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0">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2" t="s">
        <v>718</v>
      </c>
      <c r="C1" s="2623" t="s">
        <v>719</v>
      </c>
      <c r="D1" s="2624"/>
      <c r="E1" s="2625"/>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520</v>
      </c>
      <c r="B4" s="513"/>
      <c r="C4" s="3373" t="s">
        <v>521</v>
      </c>
      <c r="D4" s="3374"/>
      <c r="E4" s="3407" t="s">
        <v>522</v>
      </c>
      <c r="F4" s="3408"/>
      <c r="G4" s="3373" t="s">
        <v>523</v>
      </c>
      <c r="H4" s="3374"/>
      <c r="I4" s="3373" t="s">
        <v>524</v>
      </c>
      <c r="J4" s="3374"/>
      <c r="K4" s="853" t="s">
        <v>525</v>
      </c>
      <c r="L4" s="2134"/>
      <c r="M4" s="2135"/>
      <c r="N4" s="2135"/>
      <c r="O4" s="2135"/>
      <c r="P4" s="3375" t="s">
        <v>526</v>
      </c>
      <c r="Q4" s="3376"/>
      <c r="R4" s="3381" t="s">
        <v>522</v>
      </c>
      <c r="S4" s="3382"/>
      <c r="T4" s="3381" t="s">
        <v>523</v>
      </c>
      <c r="U4" s="3382"/>
      <c r="V4" s="3368" t="s">
        <v>524</v>
      </c>
      <c r="W4" s="3368"/>
      <c r="X4" s="1568"/>
      <c r="Y4" s="3381" t="s">
        <v>526</v>
      </c>
      <c r="Z4" s="3382"/>
      <c r="AA4" s="3370" t="s">
        <v>522</v>
      </c>
      <c r="AB4" s="3370" t="s">
        <v>523</v>
      </c>
      <c r="AC4" s="3370" t="s">
        <v>524</v>
      </c>
    </row>
    <row r="5" spans="1:29" ht="15">
      <c r="A5" s="515"/>
      <c r="B5" s="516"/>
      <c r="C5" s="3389" t="s">
        <v>2927</v>
      </c>
      <c r="D5" s="3390"/>
      <c r="E5" s="3409" t="s">
        <v>2928</v>
      </c>
      <c r="F5" s="3410"/>
      <c r="G5" s="3389" t="s">
        <v>2929</v>
      </c>
      <c r="H5" s="3390"/>
      <c r="I5" s="3389" t="s">
        <v>2930</v>
      </c>
      <c r="J5" s="3390"/>
      <c r="K5" s="854"/>
      <c r="L5" s="2134"/>
      <c r="M5" s="2135"/>
      <c r="N5" s="2135"/>
      <c r="O5" s="2135"/>
      <c r="P5" s="3377"/>
      <c r="Q5" s="3378"/>
      <c r="R5" s="3383"/>
      <c r="S5" s="3384"/>
      <c r="T5" s="3383"/>
      <c r="U5" s="3384"/>
      <c r="V5" s="3368"/>
      <c r="W5" s="3368"/>
      <c r="X5" s="1568"/>
      <c r="Y5" s="3383"/>
      <c r="Z5" s="3384"/>
      <c r="AA5" s="3371"/>
      <c r="AB5" s="3371"/>
      <c r="AC5" s="3371"/>
    </row>
    <row r="6" spans="1:29" ht="15.75" thickBot="1">
      <c r="A6" s="517"/>
      <c r="B6" s="518"/>
      <c r="C6" s="3387" t="s">
        <v>2931</v>
      </c>
      <c r="D6" s="3388"/>
      <c r="E6" s="3405" t="s">
        <v>2931</v>
      </c>
      <c r="F6" s="3406"/>
      <c r="G6" s="3387" t="s">
        <v>2931</v>
      </c>
      <c r="H6" s="3388"/>
      <c r="I6" s="3387" t="s">
        <v>2931</v>
      </c>
      <c r="J6" s="3388"/>
      <c r="K6" s="854" t="s">
        <v>527</v>
      </c>
      <c r="L6" s="2134"/>
      <c r="M6" s="2135"/>
      <c r="N6" s="2135"/>
      <c r="O6" s="2135"/>
      <c r="P6" s="3379"/>
      <c r="Q6" s="3380"/>
      <c r="R6" s="3383"/>
      <c r="S6" s="3384"/>
      <c r="T6" s="3385"/>
      <c r="U6" s="3386"/>
      <c r="V6" s="3368"/>
      <c r="W6" s="3368"/>
      <c r="X6" s="1568"/>
      <c r="Y6" s="3385"/>
      <c r="Z6" s="3386"/>
      <c r="AA6" s="3372"/>
      <c r="AB6" s="3372"/>
      <c r="AC6" s="3372"/>
    </row>
    <row r="7" spans="1:29" s="1220" customFormat="1" ht="15.75" thickBot="1">
      <c r="A7" s="2911"/>
      <c r="B7" s="2918" t="s">
        <v>528</v>
      </c>
      <c r="C7" s="519">
        <f>'数据-取费表'!B2</f>
        <v>43426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8" t="s">
        <v>529</v>
      </c>
      <c r="Q7" s="3400"/>
      <c r="R7" s="1569" t="s">
        <v>13</v>
      </c>
      <c r="S7" s="1570">
        <f t="shared" ref="S7:S15" si="0">F7</f>
        <v>0</v>
      </c>
      <c r="T7" s="1569" t="s">
        <v>13</v>
      </c>
      <c r="U7" s="1570">
        <f t="shared" ref="U7:U15" si="1">H7</f>
        <v>0</v>
      </c>
      <c r="V7" s="1569" t="s">
        <v>13</v>
      </c>
      <c r="W7" s="1570">
        <f t="shared" ref="W7:W15"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8" t="s">
        <v>532</v>
      </c>
      <c r="Q8" s="3399"/>
      <c r="R8" s="1569" t="s">
        <v>13</v>
      </c>
      <c r="S8" s="1570">
        <f t="shared" si="0"/>
        <v>0</v>
      </c>
      <c r="T8" s="1569" t="s">
        <v>13</v>
      </c>
      <c r="U8" s="1570">
        <f t="shared" si="1"/>
        <v>0</v>
      </c>
      <c r="V8" s="1569" t="s">
        <v>13</v>
      </c>
      <c r="W8" s="1570">
        <f t="shared" si="2"/>
        <v>0</v>
      </c>
      <c r="X8" s="1571"/>
      <c r="Y8" s="3398" t="s">
        <v>532</v>
      </c>
      <c r="Z8" s="3399"/>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7" t="s">
        <v>534</v>
      </c>
      <c r="Q9" s="1151" t="str">
        <f t="shared" ref="Q9:Q15" si="6">B9</f>
        <v>用途</v>
      </c>
      <c r="R9" s="1569" t="s">
        <v>8</v>
      </c>
      <c r="S9" s="1570">
        <f t="shared" si="0"/>
        <v>100</v>
      </c>
      <c r="T9" s="1569" t="s">
        <v>8</v>
      </c>
      <c r="U9" s="1570">
        <f t="shared" si="1"/>
        <v>100</v>
      </c>
      <c r="V9" s="1569" t="s">
        <v>8</v>
      </c>
      <c r="W9" s="1570">
        <f t="shared" si="2"/>
        <v>100</v>
      </c>
      <c r="X9" s="1571"/>
      <c r="Y9" s="3307"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7"/>
      <c r="Q11" s="1151" t="str">
        <f t="shared" si="6"/>
        <v>容积率</v>
      </c>
      <c r="R11" s="1569" t="s">
        <v>11</v>
      </c>
      <c r="S11" s="1570" t="e">
        <f t="shared" si="0"/>
        <v>#N/A</v>
      </c>
      <c r="T11" s="1569" t="s">
        <v>11</v>
      </c>
      <c r="U11" s="1570" t="e">
        <f t="shared" si="1"/>
        <v>#N/A</v>
      </c>
      <c r="V11" s="1569" t="s">
        <v>11</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7"/>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7"/>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7"/>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09"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1" t="s">
        <v>539</v>
      </c>
      <c r="Q15" s="1573" t="str">
        <f t="shared" si="6"/>
        <v>居住社区成熟度</v>
      </c>
      <c r="R15" s="1574" t="s">
        <v>11</v>
      </c>
      <c r="S15" s="1575">
        <f t="shared" si="0"/>
        <v>100</v>
      </c>
      <c r="T15" s="1574" t="s">
        <v>11</v>
      </c>
      <c r="U15" s="1575">
        <f t="shared" si="1"/>
        <v>100</v>
      </c>
      <c r="V15" s="1574" t="s">
        <v>11</v>
      </c>
      <c r="W15" s="1575">
        <f t="shared" si="2"/>
        <v>100</v>
      </c>
      <c r="X15" s="1568"/>
      <c r="Y15" s="3401"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2"/>
      <c r="Q17" s="1573" t="str">
        <f>B17</f>
        <v>交通便捷度</v>
      </c>
      <c r="R17" s="1574" t="s">
        <v>11</v>
      </c>
      <c r="S17" s="1575">
        <f>F17</f>
        <v>100</v>
      </c>
      <c r="T17" s="1574" t="s">
        <v>11</v>
      </c>
      <c r="U17" s="1575">
        <f>H17</f>
        <v>100</v>
      </c>
      <c r="V17" s="1574" t="s">
        <v>11</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2"/>
      <c r="Q18" s="1573"/>
      <c r="R18" s="1574"/>
      <c r="S18" s="1575"/>
      <c r="T18" s="1574"/>
      <c r="U18" s="1575"/>
      <c r="V18" s="1574"/>
      <c r="W18" s="1575"/>
      <c r="X18" s="1568"/>
      <c r="Y18" s="3402"/>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2"/>
      <c r="Q19" s="1573" t="str">
        <f>B19</f>
        <v>公共配套设施</v>
      </c>
      <c r="R19" s="1574" t="s">
        <v>11</v>
      </c>
      <c r="S19" s="1575">
        <f>F19</f>
        <v>100</v>
      </c>
      <c r="T19" s="1574" t="s">
        <v>11</v>
      </c>
      <c r="U19" s="1575">
        <f>H19</f>
        <v>100</v>
      </c>
      <c r="V19" s="1574" t="s">
        <v>11</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2"/>
      <c r="Q20" s="1573"/>
      <c r="R20" s="1574"/>
      <c r="S20" s="1575"/>
      <c r="T20" s="1574"/>
      <c r="U20" s="1575"/>
      <c r="V20" s="1574"/>
      <c r="W20" s="1575"/>
      <c r="X20" s="1568"/>
      <c r="Y20" s="3402"/>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2"/>
      <c r="Q21" s="2578" t="str">
        <f>B21</f>
        <v>基础设施水平</v>
      </c>
      <c r="R21" s="1574" t="s">
        <v>11</v>
      </c>
      <c r="S21" s="1575">
        <f>F21</f>
        <v>100</v>
      </c>
      <c r="T21" s="1574" t="s">
        <v>11</v>
      </c>
      <c r="U21" s="1575">
        <f>H21</f>
        <v>100</v>
      </c>
      <c r="V21" s="1574" t="s">
        <v>11</v>
      </c>
      <c r="W21" s="1575">
        <f>J21</f>
        <v>100</v>
      </c>
      <c r="X21" s="2580"/>
      <c r="Y21" s="3402"/>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3"/>
      <c r="M22" s="2135"/>
      <c r="N22" s="2135"/>
      <c r="O22" s="2142"/>
      <c r="P22" s="3402"/>
      <c r="Q22" s="2578"/>
      <c r="R22" s="1574"/>
      <c r="S22" s="1575"/>
      <c r="T22" s="1574"/>
      <c r="U22" s="1575"/>
      <c r="V22" s="1574"/>
      <c r="W22" s="1575"/>
      <c r="X22" s="2580"/>
      <c r="Y22" s="3402"/>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2"/>
      <c r="Q23" s="1573" t="str">
        <f>B23</f>
        <v>自然及人文环境</v>
      </c>
      <c r="R23" s="1574" t="s">
        <v>11</v>
      </c>
      <c r="S23" s="1575">
        <f>F23</f>
        <v>100</v>
      </c>
      <c r="T23" s="1574" t="s">
        <v>11</v>
      </c>
      <c r="U23" s="1575">
        <f>H23</f>
        <v>100</v>
      </c>
      <c r="V23" s="1574" t="s">
        <v>11</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2"/>
      <c r="Q24" s="1573"/>
      <c r="R24" s="1574"/>
      <c r="S24" s="1575"/>
      <c r="T24" s="1574"/>
      <c r="U24" s="1575"/>
      <c r="V24" s="1574"/>
      <c r="W24" s="1575"/>
      <c r="X24" s="1568"/>
      <c r="Y24" s="3402"/>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2"/>
      <c r="Q25" s="1573" t="str">
        <f t="shared" ref="Q25:Q46" si="11">B25</f>
        <v>楼层-1</v>
      </c>
      <c r="R25" s="1574" t="s">
        <v>11</v>
      </c>
      <c r="S25" s="1575">
        <f>F25</f>
        <v>100</v>
      </c>
      <c r="T25" s="1574" t="s">
        <v>11</v>
      </c>
      <c r="U25" s="1575">
        <f>H25</f>
        <v>100</v>
      </c>
      <c r="V25" s="1574" t="s">
        <v>11</v>
      </c>
      <c r="W25" s="1575">
        <f>J25</f>
        <v>100</v>
      </c>
      <c r="X25" s="1568"/>
      <c r="Y25" s="3402"/>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2"/>
      <c r="Q26" s="1573" t="str">
        <f t="shared" si="11"/>
        <v>朝向</v>
      </c>
      <c r="R26" s="1574" t="s">
        <v>11</v>
      </c>
      <c r="S26" s="1575">
        <f>F26</f>
        <v>100</v>
      </c>
      <c r="T26" s="1574" t="s">
        <v>11</v>
      </c>
      <c r="U26" s="1575">
        <f>H26</f>
        <v>100</v>
      </c>
      <c r="V26" s="1574" t="s">
        <v>11</v>
      </c>
      <c r="W26" s="1575">
        <f>J26</f>
        <v>100</v>
      </c>
      <c r="X26" s="1568"/>
      <c r="Y26" s="3402"/>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2"/>
      <c r="Q27" s="1151" t="str">
        <f t="shared" si="11"/>
        <v>道路级别</v>
      </c>
      <c r="R27" s="1569" t="s">
        <v>11</v>
      </c>
      <c r="S27" s="1570">
        <f>F27</f>
        <v>100</v>
      </c>
      <c r="T27" s="1569" t="s">
        <v>11</v>
      </c>
      <c r="U27" s="1570">
        <f>H27</f>
        <v>100</v>
      </c>
      <c r="V27" s="1569" t="s">
        <v>11</v>
      </c>
      <c r="W27" s="1570">
        <f>J27</f>
        <v>100</v>
      </c>
      <c r="X27" s="1571"/>
      <c r="Y27" s="340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2"/>
      <c r="Q29" s="1573">
        <f t="shared" si="11"/>
        <v>111</v>
      </c>
      <c r="R29" s="1574" t="s">
        <v>11</v>
      </c>
      <c r="S29" s="1575">
        <f t="shared" si="12"/>
        <v>100</v>
      </c>
      <c r="T29" s="1574" t="s">
        <v>11</v>
      </c>
      <c r="U29" s="1575">
        <f t="shared" si="13"/>
        <v>100</v>
      </c>
      <c r="V29" s="1574" t="s">
        <v>11</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2"/>
      <c r="Q30" s="1573">
        <f t="shared" si="11"/>
        <v>111</v>
      </c>
      <c r="R30" s="1574" t="s">
        <v>11</v>
      </c>
      <c r="S30" s="1575">
        <f t="shared" si="12"/>
        <v>100</v>
      </c>
      <c r="T30" s="1574" t="s">
        <v>11</v>
      </c>
      <c r="U30" s="1575">
        <f t="shared" si="13"/>
        <v>100</v>
      </c>
      <c r="V30" s="1574" t="s">
        <v>11</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2"/>
      <c r="Q31" s="1573">
        <f t="shared" si="11"/>
        <v>111</v>
      </c>
      <c r="R31" s="1574" t="s">
        <v>11</v>
      </c>
      <c r="S31" s="1575">
        <f t="shared" si="12"/>
        <v>100</v>
      </c>
      <c r="T31" s="1574" t="s">
        <v>11</v>
      </c>
      <c r="U31" s="1575">
        <f t="shared" si="13"/>
        <v>100</v>
      </c>
      <c r="V31" s="1574" t="s">
        <v>11</v>
      </c>
      <c r="W31" s="1575">
        <f t="shared" si="14"/>
        <v>100</v>
      </c>
      <c r="X31" s="1568"/>
      <c r="Y31" s="3402"/>
      <c r="Z31" s="1576">
        <f t="shared" si="15"/>
        <v>111</v>
      </c>
      <c r="AA31" s="1577">
        <f t="shared" si="3"/>
        <v>1</v>
      </c>
      <c r="AB31" s="1577">
        <f t="shared" si="4"/>
        <v>1</v>
      </c>
      <c r="AC31" s="1577">
        <f t="shared" si="5"/>
        <v>1</v>
      </c>
    </row>
    <row r="32" spans="1:29" ht="15">
      <c r="A32" s="2906"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3" t="s">
        <v>549</v>
      </c>
      <c r="Q32" s="1573" t="str">
        <f t="shared" si="11"/>
        <v>建筑类型</v>
      </c>
      <c r="R32" s="1574" t="s">
        <v>11</v>
      </c>
      <c r="S32" s="1575">
        <f t="shared" si="12"/>
        <v>100</v>
      </c>
      <c r="T32" s="1574" t="s">
        <v>11</v>
      </c>
      <c r="U32" s="1575">
        <f t="shared" si="13"/>
        <v>100</v>
      </c>
      <c r="V32" s="1574" t="s">
        <v>11</v>
      </c>
      <c r="W32" s="1575">
        <f t="shared" si="14"/>
        <v>100</v>
      </c>
      <c r="X32" s="1568"/>
      <c r="Y32" s="3404"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4"/>
      <c r="Q33" s="1606" t="str">
        <f t="shared" si="11"/>
        <v>项目建筑规模</v>
      </c>
      <c r="R33" s="1578" t="s">
        <v>11</v>
      </c>
      <c r="S33" s="1579" t="e">
        <f t="shared" si="12"/>
        <v>#N/A</v>
      </c>
      <c r="T33" s="1578" t="s">
        <v>11</v>
      </c>
      <c r="U33" s="1579" t="e">
        <f t="shared" si="13"/>
        <v>#N/A</v>
      </c>
      <c r="V33" s="1578" t="s">
        <v>11</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4"/>
      <c r="Q34" s="1573" t="str">
        <f t="shared" si="11"/>
        <v>建筑结构</v>
      </c>
      <c r="R34" s="1574" t="s">
        <v>11</v>
      </c>
      <c r="S34" s="1575">
        <f t="shared" si="12"/>
        <v>100</v>
      </c>
      <c r="T34" s="1574" t="s">
        <v>11</v>
      </c>
      <c r="U34" s="1575">
        <f t="shared" si="13"/>
        <v>100</v>
      </c>
      <c r="V34" s="1574" t="s">
        <v>11</v>
      </c>
      <c r="W34" s="1575">
        <f t="shared" si="14"/>
        <v>100</v>
      </c>
      <c r="X34" s="1568"/>
      <c r="Y34" s="3404"/>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4"/>
      <c r="Q35" s="1573" t="str">
        <f t="shared" si="11"/>
        <v>建筑品质</v>
      </c>
      <c r="R35" s="1574" t="s">
        <v>11</v>
      </c>
      <c r="S35" s="1575">
        <f t="shared" si="12"/>
        <v>100</v>
      </c>
      <c r="T35" s="1574" t="s">
        <v>11</v>
      </c>
      <c r="U35" s="1575">
        <f t="shared" si="13"/>
        <v>100</v>
      </c>
      <c r="V35" s="1574" t="s">
        <v>11</v>
      </c>
      <c r="W35" s="1575">
        <f t="shared" si="14"/>
        <v>100</v>
      </c>
      <c r="X35" s="1568"/>
      <c r="Y35" s="3404"/>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4"/>
      <c r="Q36" s="1573" t="str">
        <f t="shared" si="11"/>
        <v>公共部分装修</v>
      </c>
      <c r="R36" s="1574" t="s">
        <v>11</v>
      </c>
      <c r="S36" s="1575">
        <f t="shared" si="12"/>
        <v>100</v>
      </c>
      <c r="T36" s="1574" t="s">
        <v>11</v>
      </c>
      <c r="U36" s="1575">
        <f t="shared" si="13"/>
        <v>100</v>
      </c>
      <c r="V36" s="1574" t="s">
        <v>11</v>
      </c>
      <c r="W36" s="1575">
        <f t="shared" si="14"/>
        <v>100</v>
      </c>
      <c r="X36" s="1568"/>
      <c r="Y36" s="3404"/>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4"/>
      <c r="Q37" s="1151" t="str">
        <f t="shared" si="11"/>
        <v>成新度</v>
      </c>
      <c r="R37" s="1569" t="s">
        <v>11</v>
      </c>
      <c r="S37" s="1570" t="e">
        <f t="shared" si="12"/>
        <v>#N/A</v>
      </c>
      <c r="T37" s="1569" t="s">
        <v>11</v>
      </c>
      <c r="U37" s="1570" t="e">
        <f t="shared" si="13"/>
        <v>#N/A</v>
      </c>
      <c r="V37" s="1569" t="s">
        <v>11</v>
      </c>
      <c r="W37" s="1570" t="e">
        <f t="shared" si="14"/>
        <v>#N/A</v>
      </c>
      <c r="X37" s="1571"/>
      <c r="Y37" s="3404"/>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4" t="s">
        <v>549</v>
      </c>
      <c r="Q38" s="1573" t="str">
        <f t="shared" si="11"/>
        <v>物业管理</v>
      </c>
      <c r="R38" s="1574" t="s">
        <v>11</v>
      </c>
      <c r="S38" s="1575">
        <f t="shared" si="12"/>
        <v>100</v>
      </c>
      <c r="T38" s="1574" t="s">
        <v>11</v>
      </c>
      <c r="U38" s="1575">
        <f t="shared" si="13"/>
        <v>100</v>
      </c>
      <c r="V38" s="1574" t="s">
        <v>11</v>
      </c>
      <c r="W38" s="1575">
        <f t="shared" si="14"/>
        <v>100</v>
      </c>
      <c r="X38" s="1568"/>
      <c r="Y38" s="3404"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4"/>
      <c r="Q39" s="1573" t="str">
        <f t="shared" si="11"/>
        <v>市政基础设施</v>
      </c>
      <c r="R39" s="1574" t="s">
        <v>11</v>
      </c>
      <c r="S39" s="1575">
        <f t="shared" si="12"/>
        <v>100</v>
      </c>
      <c r="T39" s="1574" t="s">
        <v>11</v>
      </c>
      <c r="U39" s="1575">
        <f t="shared" si="13"/>
        <v>100</v>
      </c>
      <c r="V39" s="1574" t="s">
        <v>11</v>
      </c>
      <c r="W39" s="1575">
        <f t="shared" si="14"/>
        <v>100</v>
      </c>
      <c r="X39" s="1568"/>
      <c r="Y39" s="3404"/>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4"/>
      <c r="Q40" s="1573" t="str">
        <f t="shared" si="11"/>
        <v>房型</v>
      </c>
      <c r="R40" s="1574" t="s">
        <v>11</v>
      </c>
      <c r="S40" s="1575">
        <f t="shared" si="12"/>
        <v>100</v>
      </c>
      <c r="T40" s="1574" t="s">
        <v>11</v>
      </c>
      <c r="U40" s="1575">
        <f t="shared" si="13"/>
        <v>100</v>
      </c>
      <c r="V40" s="1574" t="s">
        <v>11</v>
      </c>
      <c r="W40" s="1575">
        <f t="shared" si="14"/>
        <v>100</v>
      </c>
      <c r="X40" s="1568"/>
      <c r="Y40" s="3404"/>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4"/>
      <c r="Q41" s="1606" t="str">
        <f t="shared" si="11"/>
        <v>单套/主力户型建筑面积</v>
      </c>
      <c r="R41" s="1578" t="s">
        <v>11</v>
      </c>
      <c r="S41" s="1579">
        <f t="shared" si="12"/>
        <v>100</v>
      </c>
      <c r="T41" s="1578" t="s">
        <v>11</v>
      </c>
      <c r="U41" s="1579">
        <f t="shared" si="13"/>
        <v>100</v>
      </c>
      <c r="V41" s="1578" t="s">
        <v>11</v>
      </c>
      <c r="W41" s="1579">
        <f t="shared" si="14"/>
        <v>100</v>
      </c>
      <c r="X41" s="1580"/>
      <c r="Y41" s="3404"/>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4"/>
      <c r="Q42" s="1573" t="str">
        <f t="shared" si="11"/>
        <v>内部装修</v>
      </c>
      <c r="R42" s="1574" t="s">
        <v>11</v>
      </c>
      <c r="S42" s="1575">
        <f t="shared" si="12"/>
        <v>100</v>
      </c>
      <c r="T42" s="1574" t="s">
        <v>11</v>
      </c>
      <c r="U42" s="1575">
        <f t="shared" si="13"/>
        <v>100</v>
      </c>
      <c r="V42" s="1574" t="s">
        <v>11</v>
      </c>
      <c r="W42" s="1575">
        <f t="shared" si="14"/>
        <v>100</v>
      </c>
      <c r="X42" s="1568"/>
      <c r="Y42" s="3404"/>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4"/>
      <c r="Q43" s="1573" t="str">
        <f t="shared" si="11"/>
        <v>内部装修维护情况</v>
      </c>
      <c r="R43" s="1574" t="s">
        <v>11</v>
      </c>
      <c r="S43" s="1575">
        <f t="shared" si="12"/>
        <v>100</v>
      </c>
      <c r="T43" s="1574" t="s">
        <v>11</v>
      </c>
      <c r="U43" s="1575">
        <f t="shared" si="13"/>
        <v>100</v>
      </c>
      <c r="V43" s="1574" t="s">
        <v>11</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4"/>
      <c r="Q44" s="1151">
        <f t="shared" si="11"/>
        <v>111</v>
      </c>
      <c r="R44" s="1569" t="s">
        <v>11</v>
      </c>
      <c r="S44" s="1570">
        <f t="shared" si="12"/>
        <v>100</v>
      </c>
      <c r="T44" s="1569" t="s">
        <v>11</v>
      </c>
      <c r="U44" s="1570">
        <f t="shared" si="13"/>
        <v>100</v>
      </c>
      <c r="V44" s="1569" t="s">
        <v>11</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4"/>
      <c r="Q45" s="1573">
        <f t="shared" si="11"/>
        <v>111</v>
      </c>
      <c r="R45" s="1574" t="s">
        <v>11</v>
      </c>
      <c r="S45" s="1575">
        <f t="shared" si="12"/>
        <v>100</v>
      </c>
      <c r="T45" s="1574" t="s">
        <v>11</v>
      </c>
      <c r="U45" s="1575">
        <f t="shared" si="13"/>
        <v>100</v>
      </c>
      <c r="V45" s="1574" t="s">
        <v>11</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735</v>
      </c>
      <c r="B47" s="887"/>
      <c r="C47" s="2626" t="s">
        <v>9</v>
      </c>
      <c r="D47" s="2627"/>
      <c r="E47" s="2628"/>
      <c r="F47" s="2629"/>
      <c r="G47" s="2630"/>
      <c r="H47" s="2631"/>
      <c r="I47" s="2628"/>
      <c r="J47" s="2631"/>
      <c r="K47" s="1607"/>
      <c r="L47" s="2145"/>
      <c r="M47" s="2146"/>
      <c r="N47" s="2135"/>
      <c r="O47" s="2146"/>
      <c r="P47" s="3367" t="str">
        <f>A47</f>
        <v>成交单价（元/平方米）</v>
      </c>
      <c r="Q47" s="3367"/>
      <c r="R47" s="3474">
        <f>E47</f>
        <v>0</v>
      </c>
      <c r="S47" s="3474"/>
      <c r="T47" s="3474">
        <f>G47</f>
        <v>0</v>
      </c>
      <c r="U47" s="3474"/>
      <c r="V47" s="3474">
        <f>I47</f>
        <v>0</v>
      </c>
      <c r="W47" s="3474"/>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08"/>
      <c r="L48" s="2145"/>
      <c r="M48" s="2146"/>
      <c r="N48" s="2146"/>
      <c r="O48" s="2146"/>
      <c r="P48" s="3367" t="str">
        <f>A48</f>
        <v>比较价格（元/平方米）</v>
      </c>
      <c r="Q48" s="3367"/>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09"/>
      <c r="L49" s="2145"/>
      <c r="M49" s="2146"/>
      <c r="N49" s="2146"/>
      <c r="O49" s="2146"/>
      <c r="P49" s="3364" t="str">
        <f>A49</f>
        <v>估价对象XX用房的比较价格（楼面单价，元/平方米）</v>
      </c>
      <c r="Q49" s="3365"/>
      <c r="R49" s="3473" t="e">
        <f>IF(F1="售价",ROUND(AVERAGE(R48:V48),0),ROUND(AVERAGE(R48:V48),1))</f>
        <v>#DIV/0!</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520</v>
      </c>
      <c r="B4" s="513"/>
      <c r="C4" s="3373" t="s">
        <v>521</v>
      </c>
      <c r="D4" s="3374"/>
      <c r="E4" s="3407" t="s">
        <v>522</v>
      </c>
      <c r="F4" s="3408"/>
      <c r="G4" s="3373" t="s">
        <v>523</v>
      </c>
      <c r="H4" s="3374"/>
      <c r="I4" s="3373" t="s">
        <v>524</v>
      </c>
      <c r="J4" s="3374"/>
      <c r="K4" s="514" t="s">
        <v>525</v>
      </c>
      <c r="L4" s="2134"/>
      <c r="M4" s="2135"/>
      <c r="N4" s="2135"/>
      <c r="O4" s="2135"/>
      <c r="P4" s="3375" t="s">
        <v>526</v>
      </c>
      <c r="Q4" s="3376"/>
      <c r="R4" s="3381" t="s">
        <v>522</v>
      </c>
      <c r="S4" s="3382"/>
      <c r="T4" s="3381" t="s">
        <v>523</v>
      </c>
      <c r="U4" s="3382"/>
      <c r="V4" s="3368" t="s">
        <v>524</v>
      </c>
      <c r="W4" s="3368"/>
      <c r="X4" s="1568"/>
      <c r="Y4" s="3381" t="s">
        <v>526</v>
      </c>
      <c r="Z4" s="3382"/>
      <c r="AA4" s="3370" t="s">
        <v>522</v>
      </c>
      <c r="AB4" s="3368" t="s">
        <v>523</v>
      </c>
      <c r="AC4" s="3370" t="s">
        <v>524</v>
      </c>
    </row>
    <row r="5" spans="1:29" ht="15">
      <c r="A5" s="515"/>
      <c r="B5" s="516"/>
      <c r="C5" s="3389" t="s">
        <v>2927</v>
      </c>
      <c r="D5" s="3390"/>
      <c r="E5" s="3409" t="s">
        <v>2928</v>
      </c>
      <c r="F5" s="3410"/>
      <c r="G5" s="3389" t="s">
        <v>2929</v>
      </c>
      <c r="H5" s="3390"/>
      <c r="I5" s="3389" t="s">
        <v>2930</v>
      </c>
      <c r="J5" s="3390"/>
      <c r="K5" s="514"/>
      <c r="L5" s="2134"/>
      <c r="M5" s="2135"/>
      <c r="N5" s="2135"/>
      <c r="O5" s="2135"/>
      <c r="P5" s="3377"/>
      <c r="Q5" s="3378"/>
      <c r="R5" s="3383"/>
      <c r="S5" s="3384"/>
      <c r="T5" s="3383"/>
      <c r="U5" s="3384"/>
      <c r="V5" s="3368"/>
      <c r="W5" s="3368"/>
      <c r="X5" s="1568"/>
      <c r="Y5" s="3383"/>
      <c r="Z5" s="3384"/>
      <c r="AA5" s="3371"/>
      <c r="AB5" s="3368"/>
      <c r="AC5" s="3371"/>
    </row>
    <row r="6" spans="1:29" ht="15.75" thickBot="1">
      <c r="A6" s="517"/>
      <c r="B6" s="518"/>
      <c r="C6" s="3387" t="s">
        <v>2931</v>
      </c>
      <c r="D6" s="3388"/>
      <c r="E6" s="3405" t="s">
        <v>2931</v>
      </c>
      <c r="F6" s="3406"/>
      <c r="G6" s="3387" t="s">
        <v>2931</v>
      </c>
      <c r="H6" s="3388"/>
      <c r="I6" s="3387" t="s">
        <v>2931</v>
      </c>
      <c r="J6" s="3388"/>
      <c r="K6" s="514" t="s">
        <v>527</v>
      </c>
      <c r="L6" s="2134"/>
      <c r="M6" s="2135"/>
      <c r="N6" s="2135"/>
      <c r="O6" s="2135"/>
      <c r="P6" s="3379"/>
      <c r="Q6" s="3380"/>
      <c r="R6" s="3383"/>
      <c r="S6" s="3384"/>
      <c r="T6" s="3385"/>
      <c r="U6" s="3386"/>
      <c r="V6" s="3368"/>
      <c r="W6" s="3368"/>
      <c r="X6" s="1568"/>
      <c r="Y6" s="3385"/>
      <c r="Z6" s="3386"/>
      <c r="AA6" s="3372"/>
      <c r="AB6" s="3368"/>
      <c r="AC6" s="3372"/>
    </row>
    <row r="7" spans="1:29" s="1220" customFormat="1" ht="15.75" thickBot="1">
      <c r="A7" s="2911"/>
      <c r="B7" s="2918" t="s">
        <v>528</v>
      </c>
      <c r="C7" s="519">
        <f>'数据-取费表'!B2</f>
        <v>43426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8" t="s">
        <v>529</v>
      </c>
      <c r="Q7" s="3400"/>
      <c r="R7" s="1569" t="s">
        <v>8</v>
      </c>
      <c r="S7" s="1570">
        <f t="shared" ref="S7:S15" si="0">F7</f>
        <v>0</v>
      </c>
      <c r="T7" s="1569" t="s">
        <v>8</v>
      </c>
      <c r="U7" s="1570">
        <f t="shared" ref="U7:U15" si="1">H7</f>
        <v>0</v>
      </c>
      <c r="V7" s="1569" t="s">
        <v>8</v>
      </c>
      <c r="W7" s="1570">
        <f t="shared" ref="W7:W15"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8" t="s">
        <v>532</v>
      </c>
      <c r="Q8" s="3399"/>
      <c r="R8" s="1569" t="s">
        <v>8</v>
      </c>
      <c r="S8" s="1570">
        <f t="shared" si="0"/>
        <v>0</v>
      </c>
      <c r="T8" s="1569" t="s">
        <v>8</v>
      </c>
      <c r="U8" s="1570">
        <f t="shared" si="1"/>
        <v>0</v>
      </c>
      <c r="V8" s="1569" t="s">
        <v>8</v>
      </c>
      <c r="W8" s="1570">
        <f t="shared" si="2"/>
        <v>0</v>
      </c>
      <c r="X8" s="1571"/>
      <c r="Y8" s="3398" t="s">
        <v>532</v>
      </c>
      <c r="Z8" s="3399"/>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7" t="s">
        <v>534</v>
      </c>
      <c r="Q9" s="1151" t="str">
        <f t="shared" ref="Q9:Q15" si="6">B9</f>
        <v>用途</v>
      </c>
      <c r="R9" s="1569" t="s">
        <v>8</v>
      </c>
      <c r="S9" s="1570">
        <f t="shared" si="0"/>
        <v>100</v>
      </c>
      <c r="T9" s="1569" t="s">
        <v>8</v>
      </c>
      <c r="U9" s="1570">
        <f t="shared" si="1"/>
        <v>100</v>
      </c>
      <c r="V9" s="1569" t="s">
        <v>8</v>
      </c>
      <c r="W9" s="1570">
        <f t="shared" si="2"/>
        <v>100</v>
      </c>
      <c r="X9" s="1571"/>
      <c r="Y9" s="3307"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7"/>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7"/>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7"/>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7"/>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1" t="s">
        <v>539</v>
      </c>
      <c r="Q15" s="1573" t="str">
        <f t="shared" si="6"/>
        <v>商业繁华度</v>
      </c>
      <c r="R15" s="1574" t="s">
        <v>8</v>
      </c>
      <c r="S15" s="1575">
        <f t="shared" si="0"/>
        <v>100</v>
      </c>
      <c r="T15" s="1574" t="s">
        <v>8</v>
      </c>
      <c r="U15" s="1575">
        <f t="shared" si="1"/>
        <v>100</v>
      </c>
      <c r="V15" s="1574" t="s">
        <v>8</v>
      </c>
      <c r="W15" s="1575">
        <f t="shared" si="2"/>
        <v>100</v>
      </c>
      <c r="X15" s="1568"/>
      <c r="Y15" s="3401"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2"/>
      <c r="Q18" s="1573"/>
      <c r="R18" s="1574"/>
      <c r="S18" s="1575"/>
      <c r="T18" s="1574"/>
      <c r="U18" s="1575"/>
      <c r="V18" s="1574"/>
      <c r="W18" s="1575"/>
      <c r="X18" s="1568"/>
      <c r="Y18" s="3402"/>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2"/>
      <c r="Q20" s="1573"/>
      <c r="R20" s="1574"/>
      <c r="S20" s="1575"/>
      <c r="T20" s="1574"/>
      <c r="U20" s="1575"/>
      <c r="V20" s="1574"/>
      <c r="W20" s="1575"/>
      <c r="X20" s="1568"/>
      <c r="Y20" s="3402"/>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2"/>
      <c r="Q21" s="2578" t="str">
        <f>B21</f>
        <v>基础设施水平</v>
      </c>
      <c r="R21" s="1574" t="s">
        <v>8</v>
      </c>
      <c r="S21" s="1575">
        <f>F21</f>
        <v>100</v>
      </c>
      <c r="T21" s="1574" t="s">
        <v>8</v>
      </c>
      <c r="U21" s="1575">
        <f>H21</f>
        <v>100</v>
      </c>
      <c r="V21" s="1574" t="s">
        <v>8</v>
      </c>
      <c r="W21" s="1575">
        <f>J21</f>
        <v>100</v>
      </c>
      <c r="X21" s="2580"/>
      <c r="Y21" s="3402"/>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3"/>
      <c r="M22" s="2135"/>
      <c r="N22" s="2135"/>
      <c r="O22" s="2142"/>
      <c r="P22" s="3402"/>
      <c r="Q22" s="2578"/>
      <c r="R22" s="1574"/>
      <c r="S22" s="1575"/>
      <c r="T22" s="1574"/>
      <c r="U22" s="1575"/>
      <c r="V22" s="1574"/>
      <c r="W22" s="1575"/>
      <c r="X22" s="2580"/>
      <c r="Y22" s="3402"/>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2"/>
      <c r="Q23" s="1573" t="str">
        <f>B23</f>
        <v>自然及人文环境</v>
      </c>
      <c r="R23" s="1574" t="s">
        <v>8</v>
      </c>
      <c r="S23" s="1575">
        <f>F23</f>
        <v>100</v>
      </c>
      <c r="T23" s="1574" t="s">
        <v>8</v>
      </c>
      <c r="U23" s="1575">
        <f>H23</f>
        <v>100</v>
      </c>
      <c r="V23" s="1574" t="s">
        <v>8</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2"/>
      <c r="Q24" s="1573"/>
      <c r="R24" s="1574"/>
      <c r="S24" s="1575"/>
      <c r="T24" s="1574"/>
      <c r="U24" s="1575"/>
      <c r="V24" s="1574"/>
      <c r="W24" s="1575"/>
      <c r="X24" s="1568"/>
      <c r="Y24" s="3402"/>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2"/>
      <c r="Q25" s="1573" t="str">
        <f t="shared" ref="Q25:Q46" si="11">B25</f>
        <v>临街状况</v>
      </c>
      <c r="R25" s="1574" t="s">
        <v>8</v>
      </c>
      <c r="S25" s="1575">
        <f>F25</f>
        <v>100</v>
      </c>
      <c r="T25" s="1574" t="s">
        <v>8</v>
      </c>
      <c r="U25" s="1575">
        <f>H25</f>
        <v>100</v>
      </c>
      <c r="V25" s="1574" t="s">
        <v>8</v>
      </c>
      <c r="W25" s="1575">
        <f>J25</f>
        <v>100</v>
      </c>
      <c r="X25" s="1568"/>
      <c r="Y25" s="3402"/>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2"/>
      <c r="Q26" s="1573" t="str">
        <f t="shared" si="11"/>
        <v>平面位置/可视性</v>
      </c>
      <c r="R26" s="1574" t="s">
        <v>8</v>
      </c>
      <c r="S26" s="1575">
        <f>F26</f>
        <v>100</v>
      </c>
      <c r="T26" s="1574" t="s">
        <v>8</v>
      </c>
      <c r="U26" s="1575">
        <f>H26</f>
        <v>100</v>
      </c>
      <c r="V26" s="1574" t="s">
        <v>8</v>
      </c>
      <c r="W26" s="1575">
        <f>J26</f>
        <v>100</v>
      </c>
      <c r="X26" s="1568"/>
      <c r="Y26" s="3402"/>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2"/>
      <c r="Q27" s="1151" t="str">
        <f t="shared" si="11"/>
        <v>人流量</v>
      </c>
      <c r="R27" s="1569" t="s">
        <v>8</v>
      </c>
      <c r="S27" s="1570">
        <f>F27</f>
        <v>100</v>
      </c>
      <c r="T27" s="1569" t="s">
        <v>8</v>
      </c>
      <c r="U27" s="1570">
        <f>H27</f>
        <v>100</v>
      </c>
      <c r="V27" s="1569" t="s">
        <v>8</v>
      </c>
      <c r="W27" s="1570">
        <f>J27</f>
        <v>100</v>
      </c>
      <c r="X27" s="1571"/>
      <c r="Y27" s="3402"/>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2"/>
      <c r="Q29" s="1573">
        <f t="shared" si="11"/>
        <v>111</v>
      </c>
      <c r="R29" s="1574" t="s">
        <v>8</v>
      </c>
      <c r="S29" s="1575">
        <f t="shared" si="12"/>
        <v>100</v>
      </c>
      <c r="T29" s="1574" t="s">
        <v>8</v>
      </c>
      <c r="U29" s="1575">
        <f t="shared" si="13"/>
        <v>100</v>
      </c>
      <c r="V29" s="1574" t="s">
        <v>8</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
      <c r="A32" s="2906"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3" t="s">
        <v>549</v>
      </c>
      <c r="Q32" s="1573" t="str">
        <f t="shared" si="11"/>
        <v>商业类型</v>
      </c>
      <c r="R32" s="1574" t="s">
        <v>8</v>
      </c>
      <c r="S32" s="1575">
        <f t="shared" si="12"/>
        <v>100</v>
      </c>
      <c r="T32" s="1574" t="s">
        <v>8</v>
      </c>
      <c r="U32" s="1575">
        <f t="shared" si="13"/>
        <v>100</v>
      </c>
      <c r="V32" s="1574" t="s">
        <v>8</v>
      </c>
      <c r="W32" s="1575">
        <f t="shared" si="14"/>
        <v>100</v>
      </c>
      <c r="X32" s="1568"/>
      <c r="Y32" s="3404"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4"/>
      <c r="Q33" s="1606" t="str">
        <f t="shared" si="11"/>
        <v>项目建筑规模</v>
      </c>
      <c r="R33" s="1578" t="s">
        <v>8</v>
      </c>
      <c r="S33" s="1579" t="e">
        <f t="shared" si="12"/>
        <v>#N/A</v>
      </c>
      <c r="T33" s="1578" t="s">
        <v>8</v>
      </c>
      <c r="U33" s="1579" t="e">
        <f t="shared" si="13"/>
        <v>#N/A</v>
      </c>
      <c r="V33" s="1578" t="s">
        <v>8</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4"/>
      <c r="Q34" s="1573" t="str">
        <f t="shared" si="11"/>
        <v>建筑结构</v>
      </c>
      <c r="R34" s="1574" t="s">
        <v>8</v>
      </c>
      <c r="S34" s="1575">
        <f t="shared" si="12"/>
        <v>100</v>
      </c>
      <c r="T34" s="1574" t="s">
        <v>8</v>
      </c>
      <c r="U34" s="1575">
        <f t="shared" si="13"/>
        <v>100</v>
      </c>
      <c r="V34" s="1574" t="s">
        <v>8</v>
      </c>
      <c r="W34" s="1575">
        <f t="shared" si="14"/>
        <v>100</v>
      </c>
      <c r="X34" s="1568"/>
      <c r="Y34" s="3404"/>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4"/>
      <c r="Q35" s="1573" t="str">
        <f t="shared" si="11"/>
        <v>公共部分装修</v>
      </c>
      <c r="R35" s="1574" t="s">
        <v>8</v>
      </c>
      <c r="S35" s="1575">
        <f t="shared" si="12"/>
        <v>100</v>
      </c>
      <c r="T35" s="1574" t="s">
        <v>8</v>
      </c>
      <c r="U35" s="1575">
        <f t="shared" si="13"/>
        <v>100</v>
      </c>
      <c r="V35" s="1574" t="s">
        <v>8</v>
      </c>
      <c r="W35" s="1575">
        <f t="shared" si="14"/>
        <v>100</v>
      </c>
      <c r="X35" s="1568"/>
      <c r="Y35" s="3404"/>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4"/>
      <c r="Q36" s="1573" t="str">
        <f t="shared" si="11"/>
        <v>成新度</v>
      </c>
      <c r="R36" s="1574" t="s">
        <v>8</v>
      </c>
      <c r="S36" s="1575" t="e">
        <f t="shared" si="12"/>
        <v>#N/A</v>
      </c>
      <c r="T36" s="1574" t="s">
        <v>8</v>
      </c>
      <c r="U36" s="1575" t="e">
        <f t="shared" si="13"/>
        <v>#N/A</v>
      </c>
      <c r="V36" s="1574" t="s">
        <v>8</v>
      </c>
      <c r="W36" s="1575" t="e">
        <f t="shared" si="14"/>
        <v>#N/A</v>
      </c>
      <c r="X36" s="1568"/>
      <c r="Y36" s="3404"/>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4"/>
      <c r="Q37" s="1151" t="str">
        <f t="shared" si="11"/>
        <v>市政基础设施</v>
      </c>
      <c r="R37" s="1569" t="s">
        <v>8</v>
      </c>
      <c r="S37" s="1570">
        <f t="shared" si="12"/>
        <v>100</v>
      </c>
      <c r="T37" s="1569" t="s">
        <v>8</v>
      </c>
      <c r="U37" s="1570">
        <f t="shared" si="13"/>
        <v>100</v>
      </c>
      <c r="V37" s="1569" t="s">
        <v>8</v>
      </c>
      <c r="W37" s="1570">
        <f t="shared" si="14"/>
        <v>100</v>
      </c>
      <c r="X37" s="1571"/>
      <c r="Y37" s="3404"/>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4" t="s">
        <v>765</v>
      </c>
      <c r="Q38" s="1573" t="str">
        <f t="shared" si="11"/>
        <v>业态</v>
      </c>
      <c r="R38" s="1574" t="s">
        <v>8</v>
      </c>
      <c r="S38" s="1575">
        <f t="shared" si="12"/>
        <v>100</v>
      </c>
      <c r="T38" s="1574" t="s">
        <v>8</v>
      </c>
      <c r="U38" s="1575">
        <f t="shared" si="13"/>
        <v>100</v>
      </c>
      <c r="V38" s="1574" t="s">
        <v>8</v>
      </c>
      <c r="W38" s="1575">
        <f t="shared" si="14"/>
        <v>100</v>
      </c>
      <c r="X38" s="1568"/>
      <c r="Y38" s="3404"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4"/>
      <c r="Q39" s="1573" t="str">
        <f t="shared" si="11"/>
        <v>层高</v>
      </c>
      <c r="R39" s="1574" t="s">
        <v>8</v>
      </c>
      <c r="S39" s="1575">
        <f t="shared" si="12"/>
        <v>100</v>
      </c>
      <c r="T39" s="1574" t="s">
        <v>8</v>
      </c>
      <c r="U39" s="1575">
        <f t="shared" si="13"/>
        <v>100</v>
      </c>
      <c r="V39" s="1574" t="s">
        <v>8</v>
      </c>
      <c r="W39" s="1575">
        <f t="shared" si="14"/>
        <v>100</v>
      </c>
      <c r="X39" s="1568"/>
      <c r="Y39" s="3404"/>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4"/>
      <c r="Q40" s="1573" t="str">
        <f t="shared" si="11"/>
        <v>单套建筑面积</v>
      </c>
      <c r="R40" s="1574" t="s">
        <v>8</v>
      </c>
      <c r="S40" s="1575">
        <f t="shared" si="12"/>
        <v>100</v>
      </c>
      <c r="T40" s="1574" t="s">
        <v>8</v>
      </c>
      <c r="U40" s="1575">
        <f t="shared" si="13"/>
        <v>100</v>
      </c>
      <c r="V40" s="1574" t="s">
        <v>8</v>
      </c>
      <c r="W40" s="1575">
        <f t="shared" si="14"/>
        <v>100</v>
      </c>
      <c r="X40" s="1568"/>
      <c r="Y40" s="3404"/>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4"/>
      <c r="Q41" s="1606" t="str">
        <f t="shared" si="11"/>
        <v>进深比</v>
      </c>
      <c r="R41" s="1578" t="s">
        <v>8</v>
      </c>
      <c r="S41" s="1579">
        <f t="shared" si="12"/>
        <v>100</v>
      </c>
      <c r="T41" s="1578" t="s">
        <v>8</v>
      </c>
      <c r="U41" s="1579">
        <f t="shared" si="13"/>
        <v>100</v>
      </c>
      <c r="V41" s="1578" t="s">
        <v>8</v>
      </c>
      <c r="W41" s="1579">
        <f t="shared" si="14"/>
        <v>100</v>
      </c>
      <c r="X41" s="1580"/>
      <c r="Y41" s="3404"/>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4"/>
      <c r="Q42" s="1573" t="str">
        <f t="shared" si="11"/>
        <v>内部装修</v>
      </c>
      <c r="R42" s="1574" t="s">
        <v>8</v>
      </c>
      <c r="S42" s="1575">
        <f t="shared" si="12"/>
        <v>100</v>
      </c>
      <c r="T42" s="1574" t="s">
        <v>8</v>
      </c>
      <c r="U42" s="1575">
        <f t="shared" si="13"/>
        <v>100</v>
      </c>
      <c r="V42" s="1574" t="s">
        <v>8</v>
      </c>
      <c r="W42" s="1575">
        <f t="shared" si="14"/>
        <v>100</v>
      </c>
      <c r="X42" s="1568"/>
      <c r="Y42" s="3404"/>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4"/>
      <c r="Q43" s="1573" t="str">
        <f t="shared" si="11"/>
        <v>内部装修维护情况</v>
      </c>
      <c r="R43" s="1574" t="s">
        <v>8</v>
      </c>
      <c r="S43" s="1575">
        <f t="shared" si="12"/>
        <v>100</v>
      </c>
      <c r="T43" s="1574" t="s">
        <v>8</v>
      </c>
      <c r="U43" s="1575">
        <f t="shared" si="13"/>
        <v>100</v>
      </c>
      <c r="V43" s="1574" t="s">
        <v>8</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4"/>
      <c r="Q44" s="1151">
        <f t="shared" si="11"/>
        <v>111</v>
      </c>
      <c r="R44" s="1569" t="s">
        <v>8</v>
      </c>
      <c r="S44" s="1570">
        <f t="shared" si="12"/>
        <v>100</v>
      </c>
      <c r="T44" s="1569" t="s">
        <v>8</v>
      </c>
      <c r="U44" s="1570">
        <f t="shared" si="13"/>
        <v>100</v>
      </c>
      <c r="V44" s="1569" t="s">
        <v>8</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4"/>
      <c r="Q45" s="1573">
        <f t="shared" si="11"/>
        <v>111</v>
      </c>
      <c r="R45" s="1574" t="s">
        <v>8</v>
      </c>
      <c r="S45" s="1575">
        <f t="shared" si="12"/>
        <v>100</v>
      </c>
      <c r="T45" s="1574" t="s">
        <v>8</v>
      </c>
      <c r="U45" s="1575">
        <f t="shared" si="13"/>
        <v>100</v>
      </c>
      <c r="V45" s="1574" t="s">
        <v>8</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735</v>
      </c>
      <c r="B47" s="887"/>
      <c r="C47" s="2626" t="s">
        <v>1</v>
      </c>
      <c r="D47" s="2627"/>
      <c r="E47" s="2628"/>
      <c r="F47" s="2629"/>
      <c r="G47" s="2630"/>
      <c r="H47" s="2631"/>
      <c r="I47" s="2628"/>
      <c r="J47" s="2631"/>
      <c r="K47" s="1612"/>
      <c r="L47" s="2145"/>
      <c r="M47" s="2146"/>
      <c r="N47" s="2135"/>
      <c r="O47" s="2146"/>
      <c r="P47" s="3367" t="str">
        <f>A47</f>
        <v>成交单价（元/平方米）</v>
      </c>
      <c r="Q47" s="3367"/>
      <c r="R47" s="3474">
        <f>E47</f>
        <v>0</v>
      </c>
      <c r="S47" s="3474"/>
      <c r="T47" s="3474">
        <f>G47</f>
        <v>0</v>
      </c>
      <c r="U47" s="3474"/>
      <c r="V47" s="3474">
        <f>I47</f>
        <v>0</v>
      </c>
      <c r="W47" s="3474"/>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13"/>
      <c r="L48" s="2145"/>
      <c r="M48" s="2146"/>
      <c r="N48" s="2135"/>
      <c r="O48" s="2146"/>
      <c r="P48" s="3367" t="str">
        <f>A48</f>
        <v>比较价格（元/平方米）</v>
      </c>
      <c r="Q48" s="3367"/>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14"/>
      <c r="L49" s="2145"/>
      <c r="M49" s="2146"/>
      <c r="N49" s="2135"/>
      <c r="O49" s="2146"/>
      <c r="P49" s="3364" t="str">
        <f>A49</f>
        <v>估价对象XX用房的比较价格（楼面单价，元/平方米）</v>
      </c>
      <c r="Q49" s="3365"/>
      <c r="R49" s="3473" t="e">
        <f>IF(F1="售价",ROUND(AVERAGE(R48:V48),0),ROUND(AVERAGE(R48:V48),1))</f>
        <v>#DIV/0!</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6"/>
      <c r="G1" s="1602" t="s">
        <v>720</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520</v>
      </c>
      <c r="B4" s="513"/>
      <c r="C4" s="3373" t="s">
        <v>521</v>
      </c>
      <c r="D4" s="3374"/>
      <c r="E4" s="3407" t="s">
        <v>522</v>
      </c>
      <c r="F4" s="3408"/>
      <c r="G4" s="3373" t="s">
        <v>523</v>
      </c>
      <c r="H4" s="3374"/>
      <c r="I4" s="3373" t="s">
        <v>524</v>
      </c>
      <c r="J4" s="3374"/>
      <c r="K4" s="514" t="s">
        <v>525</v>
      </c>
      <c r="L4" s="2134"/>
      <c r="M4" s="2135"/>
      <c r="N4" s="2135"/>
      <c r="O4" s="2135"/>
      <c r="P4" s="3477" t="s">
        <v>526</v>
      </c>
      <c r="Q4" s="3376"/>
      <c r="R4" s="3381" t="s">
        <v>522</v>
      </c>
      <c r="S4" s="3382"/>
      <c r="T4" s="3381" t="s">
        <v>523</v>
      </c>
      <c r="U4" s="3382"/>
      <c r="V4" s="3368" t="s">
        <v>524</v>
      </c>
      <c r="W4" s="3368"/>
      <c r="X4" s="1568"/>
      <c r="Y4" s="3381" t="s">
        <v>526</v>
      </c>
      <c r="Z4" s="3382"/>
      <c r="AA4" s="3370" t="s">
        <v>522</v>
      </c>
      <c r="AB4" s="3370" t="s">
        <v>523</v>
      </c>
      <c r="AC4" s="3370" t="s">
        <v>524</v>
      </c>
    </row>
    <row r="5" spans="1:29" ht="15">
      <c r="A5" s="515"/>
      <c r="B5" s="516"/>
      <c r="C5" s="3389" t="s">
        <v>2927</v>
      </c>
      <c r="D5" s="3390"/>
      <c r="E5" s="3409" t="s">
        <v>2928</v>
      </c>
      <c r="F5" s="3410"/>
      <c r="G5" s="3389" t="s">
        <v>2929</v>
      </c>
      <c r="H5" s="3390"/>
      <c r="I5" s="3389" t="s">
        <v>2930</v>
      </c>
      <c r="J5" s="3390"/>
      <c r="K5" s="514"/>
      <c r="L5" s="2134"/>
      <c r="M5" s="2135"/>
      <c r="N5" s="2135"/>
      <c r="O5" s="2135"/>
      <c r="P5" s="3478"/>
      <c r="Q5" s="3378"/>
      <c r="R5" s="3383"/>
      <c r="S5" s="3384"/>
      <c r="T5" s="3383"/>
      <c r="U5" s="3384"/>
      <c r="V5" s="3368"/>
      <c r="W5" s="3368"/>
      <c r="X5" s="1568"/>
      <c r="Y5" s="3383"/>
      <c r="Z5" s="3384"/>
      <c r="AA5" s="3371"/>
      <c r="AB5" s="3371"/>
      <c r="AC5" s="3371"/>
    </row>
    <row r="6" spans="1:29" ht="15.75" thickBot="1">
      <c r="A6" s="517"/>
      <c r="B6" s="518"/>
      <c r="C6" s="3387" t="s">
        <v>2931</v>
      </c>
      <c r="D6" s="3388"/>
      <c r="E6" s="3405" t="s">
        <v>2931</v>
      </c>
      <c r="F6" s="3406"/>
      <c r="G6" s="3387" t="s">
        <v>2931</v>
      </c>
      <c r="H6" s="3388"/>
      <c r="I6" s="3387" t="s">
        <v>2931</v>
      </c>
      <c r="J6" s="3388"/>
      <c r="K6" s="514" t="s">
        <v>527</v>
      </c>
      <c r="L6" s="2134"/>
      <c r="M6" s="2135"/>
      <c r="N6" s="2135"/>
      <c r="O6" s="2135"/>
      <c r="P6" s="3479"/>
      <c r="Q6" s="3380"/>
      <c r="R6" s="3383"/>
      <c r="S6" s="3384"/>
      <c r="T6" s="3385"/>
      <c r="U6" s="3386"/>
      <c r="V6" s="3368"/>
      <c r="W6" s="3368"/>
      <c r="X6" s="1568"/>
      <c r="Y6" s="3385"/>
      <c r="Z6" s="3386"/>
      <c r="AA6" s="3372"/>
      <c r="AB6" s="3372"/>
      <c r="AC6" s="3372"/>
    </row>
    <row r="7" spans="1:29" s="1220" customFormat="1" ht="15.75" thickBot="1">
      <c r="A7" s="2911"/>
      <c r="B7" s="2918" t="s">
        <v>528</v>
      </c>
      <c r="C7" s="519">
        <f>'数据-取费表'!B2</f>
        <v>43426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0" t="s">
        <v>529</v>
      </c>
      <c r="Q7" s="3400"/>
      <c r="R7" s="1569" t="s">
        <v>8</v>
      </c>
      <c r="S7" s="1570">
        <f t="shared" ref="S7:S15" si="0">F7</f>
        <v>0</v>
      </c>
      <c r="T7" s="1569" t="s">
        <v>8</v>
      </c>
      <c r="U7" s="1570">
        <f t="shared" ref="U7:U15" si="1">H7</f>
        <v>0</v>
      </c>
      <c r="V7" s="1569" t="s">
        <v>8</v>
      </c>
      <c r="W7" s="1570">
        <f t="shared" ref="W7:W15"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0" t="s">
        <v>532</v>
      </c>
      <c r="Q8" s="3399"/>
      <c r="R8" s="1569" t="s">
        <v>8</v>
      </c>
      <c r="S8" s="1570">
        <f t="shared" si="0"/>
        <v>0</v>
      </c>
      <c r="T8" s="1569" t="s">
        <v>8</v>
      </c>
      <c r="U8" s="1570">
        <f t="shared" si="1"/>
        <v>0</v>
      </c>
      <c r="V8" s="1569" t="s">
        <v>8</v>
      </c>
      <c r="W8" s="1570">
        <f t="shared" si="2"/>
        <v>0</v>
      </c>
      <c r="X8" s="1571"/>
      <c r="Y8" s="3398" t="s">
        <v>532</v>
      </c>
      <c r="Z8" s="3399"/>
      <c r="AA8" s="1572" t="e">
        <f t="shared" ref="AA8:AA47" si="3">D8/F8</f>
        <v>#DIV/0!</v>
      </c>
      <c r="AB8" s="1572" t="e">
        <f t="shared" ref="AB8:AB47" si="4">D8/H8</f>
        <v>#DIV/0!</v>
      </c>
      <c r="AC8" s="1572" t="e">
        <f t="shared" ref="AC8:AC47" si="5">D8/J8</f>
        <v>#DIV/0!</v>
      </c>
    </row>
    <row r="9" spans="1:29" s="1220"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7" t="s">
        <v>534</v>
      </c>
      <c r="Q9" s="1151" t="str">
        <f t="shared" ref="Q9:Q15" si="6">B9</f>
        <v>用途</v>
      </c>
      <c r="R9" s="1569" t="s">
        <v>8</v>
      </c>
      <c r="S9" s="1570">
        <f t="shared" si="0"/>
        <v>100</v>
      </c>
      <c r="T9" s="1569" t="s">
        <v>8</v>
      </c>
      <c r="U9" s="1570">
        <f t="shared" si="1"/>
        <v>100</v>
      </c>
      <c r="V9" s="1569" t="s">
        <v>8</v>
      </c>
      <c r="W9" s="1570">
        <f t="shared" si="2"/>
        <v>100</v>
      </c>
      <c r="X9" s="1571"/>
      <c r="Y9" s="3307"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7"/>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7"/>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7"/>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7"/>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1" t="s">
        <v>539</v>
      </c>
      <c r="Q15" s="1573" t="str">
        <f t="shared" si="6"/>
        <v>办公集聚程度</v>
      </c>
      <c r="R15" s="1574" t="s">
        <v>8</v>
      </c>
      <c r="S15" s="1575">
        <f t="shared" si="0"/>
        <v>100</v>
      </c>
      <c r="T15" s="1574" t="s">
        <v>8</v>
      </c>
      <c r="U15" s="1575">
        <f t="shared" si="1"/>
        <v>100</v>
      </c>
      <c r="V15" s="1574" t="s">
        <v>8</v>
      </c>
      <c r="W15" s="1575">
        <f t="shared" si="2"/>
        <v>100</v>
      </c>
      <c r="X15" s="1568"/>
      <c r="Y15" s="3401"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2"/>
      <c r="Q16" s="1573"/>
      <c r="R16" s="1574"/>
      <c r="S16" s="1575"/>
      <c r="T16" s="1574"/>
      <c r="U16" s="1575"/>
      <c r="V16" s="1574"/>
      <c r="W16" s="1575"/>
      <c r="X16" s="1568"/>
      <c r="Y16" s="340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2"/>
      <c r="Q18" s="1573"/>
      <c r="R18" s="1574"/>
      <c r="S18" s="1575"/>
      <c r="T18" s="1574"/>
      <c r="U18" s="1575"/>
      <c r="V18" s="1574"/>
      <c r="W18" s="1575"/>
      <c r="X18" s="1568"/>
      <c r="Y18" s="3402"/>
      <c r="Z18" s="1576"/>
      <c r="AA18" s="1577">
        <v>1</v>
      </c>
      <c r="AB18" s="1577">
        <v>1</v>
      </c>
      <c r="AC18" s="1577">
        <v>1</v>
      </c>
    </row>
    <row r="19" spans="1:29" ht="42.75">
      <c r="A19" s="532"/>
      <c r="B19" s="2602"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2"/>
      <c r="Q20" s="1573"/>
      <c r="R20" s="1574"/>
      <c r="S20" s="1575"/>
      <c r="T20" s="1574"/>
      <c r="U20" s="1575"/>
      <c r="V20" s="1574"/>
      <c r="W20" s="1575"/>
      <c r="X20" s="1568"/>
      <c r="Y20" s="3402"/>
      <c r="Z20" s="1576"/>
      <c r="AA20" s="1577">
        <v>1</v>
      </c>
      <c r="AB20" s="1577">
        <v>1</v>
      </c>
      <c r="AC20" s="1577">
        <v>1</v>
      </c>
    </row>
    <row r="21" spans="1:29" ht="28.5">
      <c r="A21" s="532"/>
      <c r="B21" s="2590"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2"/>
      <c r="Q21" s="2578" t="str">
        <f>B21</f>
        <v>基础设施水平</v>
      </c>
      <c r="R21" s="1574" t="s">
        <v>8</v>
      </c>
      <c r="S21" s="1575">
        <f>F21</f>
        <v>100</v>
      </c>
      <c r="T21" s="1574" t="s">
        <v>8</v>
      </c>
      <c r="U21" s="1575">
        <f>H21</f>
        <v>100</v>
      </c>
      <c r="V21" s="1574" t="s">
        <v>8</v>
      </c>
      <c r="W21" s="1575">
        <f>J21</f>
        <v>100</v>
      </c>
      <c r="X21" s="2580"/>
      <c r="Y21" s="3402"/>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3"/>
      <c r="M22" s="2135"/>
      <c r="N22" s="2135"/>
      <c r="O22" s="2135"/>
      <c r="P22" s="3402"/>
      <c r="Q22" s="2578"/>
      <c r="R22" s="1574"/>
      <c r="S22" s="1575"/>
      <c r="T22" s="1574"/>
      <c r="U22" s="1575"/>
      <c r="V22" s="1574"/>
      <c r="W22" s="1575"/>
      <c r="X22" s="2580"/>
      <c r="Y22" s="3402"/>
      <c r="Z22" s="2579"/>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2"/>
      <c r="Q24" s="1573"/>
      <c r="R24" s="1574"/>
      <c r="S24" s="1575"/>
      <c r="T24" s="1574"/>
      <c r="U24" s="1575"/>
      <c r="V24" s="1574"/>
      <c r="W24" s="1575"/>
      <c r="X24" s="1568"/>
      <c r="Y24" s="3402"/>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2"/>
      <c r="Q25" s="1573" t="str">
        <f>B25</f>
        <v>毗邻道路的类型与等级</v>
      </c>
      <c r="R25" s="1574" t="s">
        <v>8</v>
      </c>
      <c r="S25" s="1575">
        <f>F25</f>
        <v>100</v>
      </c>
      <c r="T25" s="1574" t="s">
        <v>8</v>
      </c>
      <c r="U25" s="1575">
        <f>H25</f>
        <v>100</v>
      </c>
      <c r="V25" s="1574" t="s">
        <v>8</v>
      </c>
      <c r="W25" s="1575">
        <f>J25</f>
        <v>100</v>
      </c>
      <c r="X25" s="1568"/>
      <c r="Y25" s="340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2"/>
      <c r="Q26" s="1573"/>
      <c r="R26" s="1574"/>
      <c r="S26" s="1575"/>
      <c r="T26" s="1574"/>
      <c r="U26" s="1575"/>
      <c r="V26" s="1574"/>
      <c r="W26" s="1575"/>
      <c r="X26" s="1568"/>
      <c r="Y26" s="3402"/>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2"/>
      <c r="Q27" s="1573" t="str">
        <f t="shared" ref="Q27:Q47" si="11">B27</f>
        <v>楼层</v>
      </c>
      <c r="R27" s="1574" t="s">
        <v>8</v>
      </c>
      <c r="S27" s="1575">
        <f>F27</f>
        <v>100</v>
      </c>
      <c r="T27" s="1574" t="s">
        <v>8</v>
      </c>
      <c r="U27" s="1575">
        <f>H27</f>
        <v>100</v>
      </c>
      <c r="V27" s="1574" t="s">
        <v>8</v>
      </c>
      <c r="W27" s="1575">
        <f>J27</f>
        <v>100</v>
      </c>
      <c r="X27" s="1568"/>
      <c r="Y27" s="3402"/>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2"/>
      <c r="Q28" s="1151" t="str">
        <f t="shared" si="11"/>
        <v>朝向</v>
      </c>
      <c r="R28" s="1569" t="s">
        <v>8</v>
      </c>
      <c r="S28" s="1570">
        <f>F28</f>
        <v>100</v>
      </c>
      <c r="T28" s="1569" t="s">
        <v>8</v>
      </c>
      <c r="U28" s="1570">
        <f>H28</f>
        <v>100</v>
      </c>
      <c r="V28" s="1569" t="s">
        <v>8</v>
      </c>
      <c r="W28" s="1570">
        <f>J28</f>
        <v>100</v>
      </c>
      <c r="X28" s="1571"/>
      <c r="Y28" s="340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2"/>
      <c r="Q29" s="1573">
        <f t="shared" si="11"/>
        <v>111</v>
      </c>
      <c r="R29" s="1574" t="s">
        <v>8</v>
      </c>
      <c r="S29" s="1575">
        <f t="shared" ref="S29:S47" si="12">F29</f>
        <v>100</v>
      </c>
      <c r="T29" s="1574" t="s">
        <v>8</v>
      </c>
      <c r="U29" s="1575">
        <f t="shared" ref="U29:U47" si="13">H29</f>
        <v>100</v>
      </c>
      <c r="V29" s="1574" t="s">
        <v>8</v>
      </c>
      <c r="W29" s="1575">
        <f t="shared" ref="W29:W47" si="14">J29</f>
        <v>100</v>
      </c>
      <c r="X29" s="1568"/>
      <c r="Y29" s="340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2"/>
      <c r="Q32" s="1573">
        <f t="shared" si="11"/>
        <v>111</v>
      </c>
      <c r="R32" s="1574" t="s">
        <v>8</v>
      </c>
      <c r="S32" s="1575">
        <f t="shared" si="12"/>
        <v>100</v>
      </c>
      <c r="T32" s="1574" t="s">
        <v>8</v>
      </c>
      <c r="U32" s="1575">
        <f t="shared" si="13"/>
        <v>100</v>
      </c>
      <c r="V32" s="1574" t="s">
        <v>8</v>
      </c>
      <c r="W32" s="1575">
        <f t="shared" si="14"/>
        <v>100</v>
      </c>
      <c r="X32" s="1568"/>
      <c r="Y32" s="3402"/>
      <c r="Z32" s="1576">
        <f t="shared" si="15"/>
        <v>111</v>
      </c>
      <c r="AA32" s="1577">
        <f t="shared" si="3"/>
        <v>1</v>
      </c>
      <c r="AB32" s="1577">
        <f t="shared" si="4"/>
        <v>1</v>
      </c>
      <c r="AC32" s="1577">
        <f t="shared" si="5"/>
        <v>1</v>
      </c>
    </row>
    <row r="33" spans="1:29" ht="15">
      <c r="A33" s="2906"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3" t="s">
        <v>549</v>
      </c>
      <c r="Q33" s="1573" t="str">
        <f t="shared" si="11"/>
        <v>建筑类型</v>
      </c>
      <c r="R33" s="1574" t="s">
        <v>8</v>
      </c>
      <c r="S33" s="1575">
        <f t="shared" si="12"/>
        <v>100</v>
      </c>
      <c r="T33" s="1574" t="s">
        <v>8</v>
      </c>
      <c r="U33" s="1575">
        <f t="shared" si="13"/>
        <v>100</v>
      </c>
      <c r="V33" s="1574" t="s">
        <v>8</v>
      </c>
      <c r="W33" s="1575">
        <f t="shared" si="14"/>
        <v>100</v>
      </c>
      <c r="X33" s="1568"/>
      <c r="Y33" s="3404"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4"/>
      <c r="Q34" s="1606" t="str">
        <f t="shared" si="11"/>
        <v>项目建筑规模</v>
      </c>
      <c r="R34" s="1578" t="s">
        <v>8</v>
      </c>
      <c r="S34" s="1579" t="e">
        <f t="shared" si="12"/>
        <v>#N/A</v>
      </c>
      <c r="T34" s="1578" t="s">
        <v>8</v>
      </c>
      <c r="U34" s="1579" t="e">
        <f t="shared" si="13"/>
        <v>#N/A</v>
      </c>
      <c r="V34" s="1578" t="s">
        <v>8</v>
      </c>
      <c r="W34" s="1579" t="e">
        <f t="shared" si="14"/>
        <v>#N/A</v>
      </c>
      <c r="X34" s="1580"/>
      <c r="Y34" s="3404"/>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4"/>
      <c r="Q35" s="1573" t="str">
        <f t="shared" si="11"/>
        <v>建筑结构</v>
      </c>
      <c r="R35" s="1574" t="s">
        <v>8</v>
      </c>
      <c r="S35" s="1575">
        <f t="shared" si="12"/>
        <v>100</v>
      </c>
      <c r="T35" s="1574" t="s">
        <v>8</v>
      </c>
      <c r="U35" s="1575">
        <f t="shared" si="13"/>
        <v>100</v>
      </c>
      <c r="V35" s="1574" t="s">
        <v>8</v>
      </c>
      <c r="W35" s="1575">
        <f t="shared" si="14"/>
        <v>100</v>
      </c>
      <c r="X35" s="1568"/>
      <c r="Y35" s="3404"/>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4"/>
      <c r="Q36" s="1573" t="str">
        <f t="shared" si="11"/>
        <v>公共部分装修</v>
      </c>
      <c r="R36" s="1574" t="s">
        <v>8</v>
      </c>
      <c r="S36" s="1575">
        <f t="shared" si="12"/>
        <v>100</v>
      </c>
      <c r="T36" s="1574" t="s">
        <v>8</v>
      </c>
      <c r="U36" s="1575">
        <f t="shared" si="13"/>
        <v>100</v>
      </c>
      <c r="V36" s="1574" t="s">
        <v>8</v>
      </c>
      <c r="W36" s="1575">
        <f t="shared" si="14"/>
        <v>100</v>
      </c>
      <c r="X36" s="1568"/>
      <c r="Y36" s="3404"/>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4"/>
      <c r="Q37" s="1573" t="str">
        <f t="shared" si="11"/>
        <v>成新度</v>
      </c>
      <c r="R37" s="1574" t="s">
        <v>8</v>
      </c>
      <c r="S37" s="1575" t="e">
        <f t="shared" si="12"/>
        <v>#N/A</v>
      </c>
      <c r="T37" s="1574" t="s">
        <v>8</v>
      </c>
      <c r="U37" s="1575" t="e">
        <f t="shared" si="13"/>
        <v>#N/A</v>
      </c>
      <c r="V37" s="1574" t="s">
        <v>8</v>
      </c>
      <c r="W37" s="1575" t="e">
        <f t="shared" si="14"/>
        <v>#N/A</v>
      </c>
      <c r="X37" s="1568"/>
      <c r="Y37" s="3404"/>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4"/>
      <c r="Q38" s="1151" t="str">
        <f t="shared" si="11"/>
        <v>写字楼等级</v>
      </c>
      <c r="R38" s="1569" t="s">
        <v>8</v>
      </c>
      <c r="S38" s="1570">
        <f t="shared" si="12"/>
        <v>100</v>
      </c>
      <c r="T38" s="1569" t="s">
        <v>8</v>
      </c>
      <c r="U38" s="1570">
        <f t="shared" si="13"/>
        <v>100</v>
      </c>
      <c r="V38" s="1569" t="s">
        <v>8</v>
      </c>
      <c r="W38" s="1570">
        <f t="shared" si="14"/>
        <v>100</v>
      </c>
      <c r="X38" s="1571"/>
      <c r="Y38" s="3404"/>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4" t="s">
        <v>549</v>
      </c>
      <c r="Q39" s="1573" t="str">
        <f t="shared" si="11"/>
        <v>物业管理</v>
      </c>
      <c r="R39" s="1574" t="s">
        <v>8</v>
      </c>
      <c r="S39" s="1575">
        <f t="shared" si="12"/>
        <v>100</v>
      </c>
      <c r="T39" s="1574" t="s">
        <v>8</v>
      </c>
      <c r="U39" s="1575">
        <f t="shared" si="13"/>
        <v>100</v>
      </c>
      <c r="V39" s="1574" t="s">
        <v>8</v>
      </c>
      <c r="W39" s="1575">
        <f t="shared" si="14"/>
        <v>100</v>
      </c>
      <c r="X39" s="1568"/>
      <c r="Y39" s="3404"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4"/>
      <c r="Q40" s="1573" t="str">
        <f t="shared" si="11"/>
        <v>市政基础设施</v>
      </c>
      <c r="R40" s="1574" t="s">
        <v>8</v>
      </c>
      <c r="S40" s="1575">
        <f t="shared" si="12"/>
        <v>100</v>
      </c>
      <c r="T40" s="1574" t="s">
        <v>8</v>
      </c>
      <c r="U40" s="1575">
        <f t="shared" si="13"/>
        <v>100</v>
      </c>
      <c r="V40" s="1574" t="s">
        <v>8</v>
      </c>
      <c r="W40" s="1575">
        <f t="shared" si="14"/>
        <v>100</v>
      </c>
      <c r="X40" s="1568"/>
      <c r="Y40" s="3404"/>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4"/>
      <c r="Q41" s="1573" t="str">
        <f t="shared" si="11"/>
        <v>层高</v>
      </c>
      <c r="R41" s="1574" t="s">
        <v>8</v>
      </c>
      <c r="S41" s="1575">
        <f t="shared" si="12"/>
        <v>100</v>
      </c>
      <c r="T41" s="1574" t="s">
        <v>8</v>
      </c>
      <c r="U41" s="1575">
        <f t="shared" si="13"/>
        <v>100</v>
      </c>
      <c r="V41" s="1574" t="s">
        <v>8</v>
      </c>
      <c r="W41" s="1575">
        <f t="shared" si="14"/>
        <v>100</v>
      </c>
      <c r="X41" s="1568"/>
      <c r="Y41" s="3404"/>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4"/>
      <c r="Q42" s="1606" t="str">
        <f t="shared" si="11"/>
        <v>单套建筑面积</v>
      </c>
      <c r="R42" s="1578" t="s">
        <v>8</v>
      </c>
      <c r="S42" s="1579">
        <f t="shared" si="12"/>
        <v>100</v>
      </c>
      <c r="T42" s="1578" t="s">
        <v>8</v>
      </c>
      <c r="U42" s="1579">
        <f t="shared" si="13"/>
        <v>100</v>
      </c>
      <c r="V42" s="1578" t="s">
        <v>8</v>
      </c>
      <c r="W42" s="1579">
        <f t="shared" si="14"/>
        <v>100</v>
      </c>
      <c r="X42" s="1580"/>
      <c r="Y42" s="3404"/>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4"/>
      <c r="Q43" s="1573" t="str">
        <f t="shared" si="11"/>
        <v>内部装修</v>
      </c>
      <c r="R43" s="1574" t="s">
        <v>8</v>
      </c>
      <c r="S43" s="1575">
        <f t="shared" si="12"/>
        <v>100</v>
      </c>
      <c r="T43" s="1574" t="s">
        <v>8</v>
      </c>
      <c r="U43" s="1575">
        <f t="shared" si="13"/>
        <v>100</v>
      </c>
      <c r="V43" s="1574" t="s">
        <v>8</v>
      </c>
      <c r="W43" s="1575">
        <f t="shared" si="14"/>
        <v>100</v>
      </c>
      <c r="X43" s="1568"/>
      <c r="Y43" s="3404"/>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4"/>
      <c r="Q44" s="1573" t="str">
        <f t="shared" si="11"/>
        <v>内部装修维护情况</v>
      </c>
      <c r="R44" s="1574" t="s">
        <v>8</v>
      </c>
      <c r="S44" s="1575">
        <f t="shared" si="12"/>
        <v>100</v>
      </c>
      <c r="T44" s="1574" t="s">
        <v>8</v>
      </c>
      <c r="U44" s="1575">
        <f t="shared" si="13"/>
        <v>100</v>
      </c>
      <c r="V44" s="1574" t="s">
        <v>8</v>
      </c>
      <c r="W44" s="1575">
        <f t="shared" si="14"/>
        <v>100</v>
      </c>
      <c r="X44" s="1568"/>
      <c r="Y44" s="340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4"/>
      <c r="Q45" s="1151">
        <f t="shared" si="11"/>
        <v>111</v>
      </c>
      <c r="R45" s="1569" t="s">
        <v>8</v>
      </c>
      <c r="S45" s="1570">
        <f t="shared" si="12"/>
        <v>100</v>
      </c>
      <c r="T45" s="1569" t="s">
        <v>8</v>
      </c>
      <c r="U45" s="1570">
        <f t="shared" si="13"/>
        <v>100</v>
      </c>
      <c r="V45" s="1569" t="s">
        <v>8</v>
      </c>
      <c r="W45" s="1570">
        <f t="shared" si="14"/>
        <v>100</v>
      </c>
      <c r="X45" s="1571"/>
      <c r="Y45" s="340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4"/>
      <c r="Q46" s="1573">
        <f t="shared" si="11"/>
        <v>111</v>
      </c>
      <c r="R46" s="1574" t="s">
        <v>8</v>
      </c>
      <c r="S46" s="1575">
        <f t="shared" si="12"/>
        <v>100</v>
      </c>
      <c r="T46" s="1574" t="s">
        <v>8</v>
      </c>
      <c r="U46" s="1575">
        <f t="shared" si="13"/>
        <v>100</v>
      </c>
      <c r="V46" s="1574" t="s">
        <v>8</v>
      </c>
      <c r="W46" s="1575">
        <f t="shared" si="14"/>
        <v>100</v>
      </c>
      <c r="X46" s="1568"/>
      <c r="Y46" s="340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735</v>
      </c>
      <c r="B48" s="887"/>
      <c r="C48" s="2626" t="s">
        <v>1</v>
      </c>
      <c r="D48" s="2627"/>
      <c r="E48" s="2628"/>
      <c r="F48" s="2629"/>
      <c r="G48" s="2630"/>
      <c r="H48" s="2631"/>
      <c r="I48" s="2628"/>
      <c r="J48" s="2631"/>
      <c r="K48" s="1612"/>
      <c r="L48" s="2145"/>
      <c r="M48" s="2135"/>
      <c r="N48" s="2135"/>
      <c r="O48" s="2135"/>
      <c r="P48" s="3365" t="str">
        <f>A48</f>
        <v>成交单价（元/平方米）</v>
      </c>
      <c r="Q48" s="3367"/>
      <c r="R48" s="3474">
        <f>E48</f>
        <v>0</v>
      </c>
      <c r="S48" s="3474"/>
      <c r="T48" s="3474">
        <f>G48</f>
        <v>0</v>
      </c>
      <c r="U48" s="3474"/>
      <c r="V48" s="3474">
        <f>I48</f>
        <v>0</v>
      </c>
      <c r="W48" s="3474"/>
      <c r="X48" s="1560"/>
      <c r="Y48" s="1582"/>
      <c r="Z48" s="1560"/>
      <c r="AA48" s="1560"/>
      <c r="AB48" s="1560"/>
      <c r="AC48" s="1560"/>
    </row>
    <row r="49" spans="1:29" ht="15.75" thickBot="1">
      <c r="A49" s="615" t="s">
        <v>2759</v>
      </c>
      <c r="B49" s="888"/>
      <c r="C49" s="2632" t="e">
        <f>R50</f>
        <v>#DIV/0!</v>
      </c>
      <c r="D49" s="2633"/>
      <c r="E49" s="2634" t="e">
        <f>R49</f>
        <v>#DIV/0!</v>
      </c>
      <c r="F49" s="2634"/>
      <c r="G49" s="2632" t="e">
        <f>T49</f>
        <v>#DIV/0!</v>
      </c>
      <c r="H49" s="2633"/>
      <c r="I49" s="2634" t="e">
        <f>V49</f>
        <v>#DIV/0!</v>
      </c>
      <c r="J49" s="2633"/>
      <c r="K49" s="1613"/>
      <c r="L49" s="2145"/>
      <c r="M49" s="2135"/>
      <c r="N49" s="2135"/>
      <c r="O49" s="2135"/>
      <c r="P49" s="3365" t="str">
        <f>A49</f>
        <v>比较价格（元/平方米）</v>
      </c>
      <c r="Q49" s="3367"/>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2933</v>
      </c>
      <c r="B50" s="622"/>
      <c r="C50" s="2635" t="e">
        <f>R50</f>
        <v>#DIV/0!</v>
      </c>
      <c r="D50" s="2635"/>
      <c r="E50" s="2635"/>
      <c r="F50" s="2635"/>
      <c r="G50" s="2635"/>
      <c r="H50" s="2635"/>
      <c r="I50" s="2635"/>
      <c r="J50" s="2635"/>
      <c r="K50" s="1614"/>
      <c r="L50" s="2145"/>
      <c r="M50" s="2135"/>
      <c r="N50" s="2135"/>
      <c r="O50" s="2135"/>
      <c r="P50" s="3476" t="str">
        <f>A50</f>
        <v>估价对象XX用房的比较价格（楼面单价，元/平方米）</v>
      </c>
      <c r="Q50" s="3365"/>
      <c r="R50" s="3473" t="e">
        <f>IF(F1="售价",ROUND(AVERAGE(R49:V49),0),ROUND(AVERAGE(R49:V49),1))</f>
        <v>#DIV/0!</v>
      </c>
      <c r="S50" s="3473"/>
      <c r="T50" s="3473"/>
      <c r="U50" s="3473"/>
      <c r="V50" s="3473"/>
      <c r="W50" s="347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573</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528</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520</v>
      </c>
      <c r="B4" s="513"/>
      <c r="C4" s="3373" t="s">
        <v>521</v>
      </c>
      <c r="D4" s="3374"/>
      <c r="E4" s="3407" t="s">
        <v>522</v>
      </c>
      <c r="F4" s="3408"/>
      <c r="G4" s="3373" t="s">
        <v>523</v>
      </c>
      <c r="H4" s="3374"/>
      <c r="I4" s="3373" t="s">
        <v>524</v>
      </c>
      <c r="J4" s="3374"/>
      <c r="K4" s="514" t="s">
        <v>525</v>
      </c>
      <c r="L4" s="2134"/>
      <c r="M4" s="2135"/>
      <c r="N4" s="2135"/>
      <c r="O4" s="2135"/>
      <c r="P4" s="3375" t="s">
        <v>526</v>
      </c>
      <c r="Q4" s="3376"/>
      <c r="R4" s="3381" t="s">
        <v>522</v>
      </c>
      <c r="S4" s="3382"/>
      <c r="T4" s="3381" t="s">
        <v>523</v>
      </c>
      <c r="U4" s="3382"/>
      <c r="V4" s="3368" t="s">
        <v>524</v>
      </c>
      <c r="W4" s="3368"/>
      <c r="X4" s="1568"/>
      <c r="Y4" s="3381" t="s">
        <v>526</v>
      </c>
      <c r="Z4" s="3382"/>
      <c r="AA4" s="3370" t="s">
        <v>522</v>
      </c>
      <c r="AB4" s="3371" t="s">
        <v>523</v>
      </c>
      <c r="AC4" s="3370" t="s">
        <v>524</v>
      </c>
    </row>
    <row r="5" spans="1:29" ht="15">
      <c r="A5" s="515"/>
      <c r="B5" s="516"/>
      <c r="C5" s="3389" t="s">
        <v>2927</v>
      </c>
      <c r="D5" s="3390"/>
      <c r="E5" s="3409" t="s">
        <v>2928</v>
      </c>
      <c r="F5" s="3410"/>
      <c r="G5" s="3389" t="s">
        <v>2929</v>
      </c>
      <c r="H5" s="3390"/>
      <c r="I5" s="3389" t="s">
        <v>2930</v>
      </c>
      <c r="J5" s="3390"/>
      <c r="K5" s="514"/>
      <c r="L5" s="2134"/>
      <c r="M5" s="2135"/>
      <c r="N5" s="2135"/>
      <c r="O5" s="2135"/>
      <c r="P5" s="3377"/>
      <c r="Q5" s="3378"/>
      <c r="R5" s="3383"/>
      <c r="S5" s="3384"/>
      <c r="T5" s="3383"/>
      <c r="U5" s="3384"/>
      <c r="V5" s="3368"/>
      <c r="W5" s="3368"/>
      <c r="X5" s="1568"/>
      <c r="Y5" s="3383"/>
      <c r="Z5" s="3384"/>
      <c r="AA5" s="3371"/>
      <c r="AB5" s="3371"/>
      <c r="AC5" s="3371"/>
    </row>
    <row r="6" spans="1:29" ht="15.75" thickBot="1">
      <c r="A6" s="517"/>
      <c r="B6" s="518"/>
      <c r="C6" s="3387" t="s">
        <v>2931</v>
      </c>
      <c r="D6" s="3388"/>
      <c r="E6" s="3405" t="s">
        <v>2931</v>
      </c>
      <c r="F6" s="3406"/>
      <c r="G6" s="3387" t="s">
        <v>2931</v>
      </c>
      <c r="H6" s="3388"/>
      <c r="I6" s="3387" t="s">
        <v>2931</v>
      </c>
      <c r="J6" s="3388"/>
      <c r="K6" s="514" t="s">
        <v>527</v>
      </c>
      <c r="L6" s="2134"/>
      <c r="M6" s="2135"/>
      <c r="N6" s="2135"/>
      <c r="O6" s="2135"/>
      <c r="P6" s="3379"/>
      <c r="Q6" s="3380"/>
      <c r="R6" s="3383"/>
      <c r="S6" s="3384"/>
      <c r="T6" s="3385"/>
      <c r="U6" s="3386"/>
      <c r="V6" s="3368"/>
      <c r="W6" s="3368"/>
      <c r="X6" s="1568"/>
      <c r="Y6" s="3385"/>
      <c r="Z6" s="3386"/>
      <c r="AA6" s="3372"/>
      <c r="AB6" s="3372"/>
      <c r="AC6" s="3372"/>
    </row>
    <row r="7" spans="1:29" s="1220" customFormat="1" ht="15.75" thickBot="1">
      <c r="A7" s="2911"/>
      <c r="B7" s="2918" t="s">
        <v>528</v>
      </c>
      <c r="C7" s="519">
        <f>'数据-取费表'!B2</f>
        <v>43426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8" t="s">
        <v>529</v>
      </c>
      <c r="Q7" s="3400"/>
      <c r="R7" s="1569" t="s">
        <v>8</v>
      </c>
      <c r="S7" s="1570">
        <f t="shared" ref="S7:S15" si="0">F7</f>
        <v>0</v>
      </c>
      <c r="T7" s="1569" t="s">
        <v>8</v>
      </c>
      <c r="U7" s="1570">
        <f t="shared" ref="U7:U15" si="1">H7</f>
        <v>0</v>
      </c>
      <c r="V7" s="1569" t="s">
        <v>8</v>
      </c>
      <c r="W7" s="1570">
        <f t="shared" ref="W7:W15"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8" t="s">
        <v>532</v>
      </c>
      <c r="Q8" s="3399"/>
      <c r="R8" s="1569" t="s">
        <v>8</v>
      </c>
      <c r="S8" s="1570">
        <f t="shared" si="0"/>
        <v>0</v>
      </c>
      <c r="T8" s="1569" t="s">
        <v>8</v>
      </c>
      <c r="U8" s="1570">
        <f t="shared" si="1"/>
        <v>0</v>
      </c>
      <c r="V8" s="1569" t="s">
        <v>8</v>
      </c>
      <c r="W8" s="1570">
        <f t="shared" si="2"/>
        <v>0</v>
      </c>
      <c r="X8" s="1571"/>
      <c r="Y8" s="3398" t="s">
        <v>532</v>
      </c>
      <c r="Z8" s="3399"/>
      <c r="AA8" s="1572" t="e">
        <f t="shared" ref="AA8:AA40" si="3">D8/F8</f>
        <v>#DIV/0!</v>
      </c>
      <c r="AB8" s="1572" t="e">
        <f t="shared" ref="AB8:AB40" si="4">D8/H8</f>
        <v>#DIV/0!</v>
      </c>
      <c r="AC8" s="1572" t="e">
        <f t="shared" ref="AC8:AC40" si="5">D8/J8</f>
        <v>#DIV/0!</v>
      </c>
    </row>
    <row r="9" spans="1:29" s="1220"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7" t="s">
        <v>534</v>
      </c>
      <c r="Q9" s="1151" t="str">
        <f t="shared" ref="Q9:Q15" si="6">B9</f>
        <v>用途</v>
      </c>
      <c r="R9" s="1569" t="s">
        <v>8</v>
      </c>
      <c r="S9" s="1570">
        <f t="shared" si="0"/>
        <v>100</v>
      </c>
      <c r="T9" s="1569" t="s">
        <v>8</v>
      </c>
      <c r="U9" s="1570">
        <f t="shared" si="1"/>
        <v>100</v>
      </c>
      <c r="V9" s="1569" t="s">
        <v>8</v>
      </c>
      <c r="W9" s="1570">
        <f t="shared" si="2"/>
        <v>100</v>
      </c>
      <c r="X9" s="1571"/>
      <c r="Y9" s="3307"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7"/>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7"/>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7"/>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7"/>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09"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1" t="s">
        <v>539</v>
      </c>
      <c r="Q15" s="1573" t="str">
        <f t="shared" si="6"/>
        <v>产业集聚程度</v>
      </c>
      <c r="R15" s="1574" t="s">
        <v>8</v>
      </c>
      <c r="S15" s="1575">
        <f t="shared" si="0"/>
        <v>100</v>
      </c>
      <c r="T15" s="1574" t="s">
        <v>8</v>
      </c>
      <c r="U15" s="1575">
        <f t="shared" si="1"/>
        <v>100</v>
      </c>
      <c r="V15" s="1574" t="s">
        <v>8</v>
      </c>
      <c r="W15" s="1575">
        <f t="shared" si="2"/>
        <v>100</v>
      </c>
      <c r="X15" s="1568"/>
      <c r="Y15" s="3401"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2"/>
      <c r="Q18" s="1573"/>
      <c r="R18" s="1574"/>
      <c r="S18" s="1575"/>
      <c r="T18" s="1574"/>
      <c r="U18" s="1575"/>
      <c r="V18" s="1574"/>
      <c r="W18" s="1575"/>
      <c r="X18" s="1568"/>
      <c r="Y18" s="3402"/>
      <c r="Z18" s="1576"/>
      <c r="AA18" s="1577">
        <v>1</v>
      </c>
      <c r="AB18" s="1577">
        <v>1</v>
      </c>
      <c r="AC18" s="1577">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2"/>
      <c r="Q20" s="1573"/>
      <c r="R20" s="1574"/>
      <c r="S20" s="1575"/>
      <c r="T20" s="1574"/>
      <c r="U20" s="1575"/>
      <c r="V20" s="1574"/>
      <c r="W20" s="1575"/>
      <c r="X20" s="1568"/>
      <c r="Y20" s="3402"/>
      <c r="Z20" s="1576"/>
      <c r="AA20" s="1577">
        <v>1</v>
      </c>
      <c r="AB20" s="1577">
        <v>1</v>
      </c>
      <c r="AC20" s="1577">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2"/>
      <c r="Q21" s="2578" t="str">
        <f>B21</f>
        <v>基础设施水平</v>
      </c>
      <c r="R21" s="1574" t="s">
        <v>8</v>
      </c>
      <c r="S21" s="1575">
        <f>F21</f>
        <v>100</v>
      </c>
      <c r="T21" s="1574" t="s">
        <v>8</v>
      </c>
      <c r="U21" s="1575">
        <f>H21</f>
        <v>100</v>
      </c>
      <c r="V21" s="1574" t="s">
        <v>8</v>
      </c>
      <c r="W21" s="1575">
        <f>J21</f>
        <v>100</v>
      </c>
      <c r="X21" s="2580"/>
      <c r="Y21" s="3402"/>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3"/>
      <c r="M22" s="2135"/>
      <c r="N22" s="2135"/>
      <c r="O22" s="2142"/>
      <c r="P22" s="3402"/>
      <c r="Q22" s="2578"/>
      <c r="R22" s="1574"/>
      <c r="S22" s="1575"/>
      <c r="T22" s="1574"/>
      <c r="U22" s="1575"/>
      <c r="V22" s="1574"/>
      <c r="W22" s="1575"/>
      <c r="X22" s="2580"/>
      <c r="Y22" s="3402"/>
      <c r="Z22" s="2579"/>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2"/>
      <c r="Q24" s="1573"/>
      <c r="R24" s="1574"/>
      <c r="S24" s="1575"/>
      <c r="T24" s="1574"/>
      <c r="U24" s="1575"/>
      <c r="V24" s="1574"/>
      <c r="W24" s="1575"/>
      <c r="X24" s="1568"/>
      <c r="Y24" s="340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2"/>
      <c r="Q25" s="1573">
        <f>B25</f>
        <v>111</v>
      </c>
      <c r="R25" s="1574" t="s">
        <v>8</v>
      </c>
      <c r="S25" s="1575">
        <f>F25</f>
        <v>100</v>
      </c>
      <c r="T25" s="1574" t="s">
        <v>8</v>
      </c>
      <c r="U25" s="1575">
        <f>H25</f>
        <v>100</v>
      </c>
      <c r="V25" s="1574" t="s">
        <v>8</v>
      </c>
      <c r="W25" s="1575">
        <f>J25</f>
        <v>100</v>
      </c>
      <c r="X25" s="1568"/>
      <c r="Y25" s="340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2"/>
      <c r="Q26" s="1573">
        <f t="shared" ref="Q26:Q40" si="11">B26</f>
        <v>111</v>
      </c>
      <c r="R26" s="1574" t="s">
        <v>8</v>
      </c>
      <c r="S26" s="1575">
        <f>F26</f>
        <v>100</v>
      </c>
      <c r="T26" s="1574" t="s">
        <v>8</v>
      </c>
      <c r="U26" s="1575">
        <f>H26</f>
        <v>100</v>
      </c>
      <c r="V26" s="1574" t="s">
        <v>8</v>
      </c>
      <c r="W26" s="1575">
        <f>J26</f>
        <v>100</v>
      </c>
      <c r="X26" s="1568"/>
      <c r="Y26" s="340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2"/>
      <c r="Q27" s="1151">
        <f t="shared" si="11"/>
        <v>111</v>
      </c>
      <c r="R27" s="1569" t="s">
        <v>8</v>
      </c>
      <c r="S27" s="1570">
        <f>F27</f>
        <v>100</v>
      </c>
      <c r="T27" s="1569" t="s">
        <v>8</v>
      </c>
      <c r="U27" s="1570">
        <f>H27</f>
        <v>100</v>
      </c>
      <c r="V27" s="1569" t="s">
        <v>8</v>
      </c>
      <c r="W27" s="1570">
        <f>J27</f>
        <v>100</v>
      </c>
      <c r="X27" s="1571"/>
      <c r="Y27" s="340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2"/>
      <c r="Q28" s="1573">
        <f t="shared" si="11"/>
        <v>111</v>
      </c>
      <c r="R28" s="1574" t="s">
        <v>8</v>
      </c>
      <c r="S28" s="1575">
        <f t="shared" ref="S28:S40" si="12">F28</f>
        <v>100</v>
      </c>
      <c r="T28" s="1574" t="s">
        <v>8</v>
      </c>
      <c r="U28" s="1575">
        <f t="shared" ref="U28:U40" si="13">H28</f>
        <v>100</v>
      </c>
      <c r="V28" s="1574" t="s">
        <v>8</v>
      </c>
      <c r="W28" s="1575">
        <f t="shared" ref="W28:W40" si="14">J28</f>
        <v>100</v>
      </c>
      <c r="X28" s="1568"/>
      <c r="Y28" s="3402"/>
      <c r="Z28" s="1576">
        <f t="shared" ref="Z28:Z40" si="15">Q28</f>
        <v>111</v>
      </c>
      <c r="AA28" s="1577">
        <f t="shared" si="3"/>
        <v>1</v>
      </c>
      <c r="AB28" s="1577">
        <f t="shared" si="4"/>
        <v>1</v>
      </c>
      <c r="AC28" s="1577">
        <f t="shared" si="5"/>
        <v>1</v>
      </c>
    </row>
    <row r="29" spans="1:29" ht="15">
      <c r="A29" s="2906"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3" t="s">
        <v>549</v>
      </c>
      <c r="Q29" s="1573" t="str">
        <f t="shared" si="11"/>
        <v>建筑类型</v>
      </c>
      <c r="R29" s="1574" t="s">
        <v>8</v>
      </c>
      <c r="S29" s="1575">
        <f t="shared" si="12"/>
        <v>100</v>
      </c>
      <c r="T29" s="1574" t="s">
        <v>8</v>
      </c>
      <c r="U29" s="1575">
        <f t="shared" si="13"/>
        <v>100</v>
      </c>
      <c r="V29" s="1574" t="s">
        <v>8</v>
      </c>
      <c r="W29" s="1575">
        <f t="shared" si="14"/>
        <v>100</v>
      </c>
      <c r="X29" s="1568"/>
      <c r="Y29" s="3404"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4"/>
      <c r="Q30" s="1606" t="str">
        <f t="shared" si="11"/>
        <v>项目建筑规模</v>
      </c>
      <c r="R30" s="1578" t="s">
        <v>8</v>
      </c>
      <c r="S30" s="1579" t="e">
        <f t="shared" si="12"/>
        <v>#N/A</v>
      </c>
      <c r="T30" s="1578" t="s">
        <v>8</v>
      </c>
      <c r="U30" s="1579" t="e">
        <f t="shared" si="13"/>
        <v>#N/A</v>
      </c>
      <c r="V30" s="1578" t="s">
        <v>8</v>
      </c>
      <c r="W30" s="1579" t="e">
        <f t="shared" si="14"/>
        <v>#N/A</v>
      </c>
      <c r="X30" s="1580"/>
      <c r="Y30" s="3404"/>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4"/>
      <c r="Q31" s="1573" t="str">
        <f t="shared" si="11"/>
        <v>建筑结构</v>
      </c>
      <c r="R31" s="1574" t="s">
        <v>8</v>
      </c>
      <c r="S31" s="1575">
        <f t="shared" si="12"/>
        <v>100</v>
      </c>
      <c r="T31" s="1574" t="s">
        <v>8</v>
      </c>
      <c r="U31" s="1575">
        <f t="shared" si="13"/>
        <v>100</v>
      </c>
      <c r="V31" s="1574" t="s">
        <v>8</v>
      </c>
      <c r="W31" s="1575">
        <f t="shared" si="14"/>
        <v>100</v>
      </c>
      <c r="X31" s="1568"/>
      <c r="Y31" s="3404"/>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4"/>
      <c r="Q32" s="1573" t="str">
        <f t="shared" si="11"/>
        <v>公共部分装修</v>
      </c>
      <c r="R32" s="1574" t="s">
        <v>8</v>
      </c>
      <c r="S32" s="1575">
        <f t="shared" si="12"/>
        <v>100</v>
      </c>
      <c r="T32" s="1574" t="s">
        <v>8</v>
      </c>
      <c r="U32" s="1575">
        <f t="shared" si="13"/>
        <v>100</v>
      </c>
      <c r="V32" s="1574" t="s">
        <v>8</v>
      </c>
      <c r="W32" s="1575">
        <f t="shared" si="14"/>
        <v>100</v>
      </c>
      <c r="X32" s="1568"/>
      <c r="Y32" s="3404"/>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4"/>
      <c r="Q33" s="1573" t="str">
        <f t="shared" si="11"/>
        <v>成新度</v>
      </c>
      <c r="R33" s="1574" t="s">
        <v>8</v>
      </c>
      <c r="S33" s="1575" t="e">
        <f t="shared" si="12"/>
        <v>#N/A</v>
      </c>
      <c r="T33" s="1574" t="s">
        <v>8</v>
      </c>
      <c r="U33" s="1575" t="e">
        <f t="shared" si="13"/>
        <v>#N/A</v>
      </c>
      <c r="V33" s="1574" t="s">
        <v>8</v>
      </c>
      <c r="W33" s="1575" t="e">
        <f t="shared" si="14"/>
        <v>#N/A</v>
      </c>
      <c r="X33" s="1568"/>
      <c r="Y33" s="3404"/>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4"/>
      <c r="Q34" s="1151" t="str">
        <f t="shared" si="11"/>
        <v>物业管理</v>
      </c>
      <c r="R34" s="1569" t="s">
        <v>8</v>
      </c>
      <c r="S34" s="1570">
        <f t="shared" si="12"/>
        <v>100</v>
      </c>
      <c r="T34" s="1569" t="s">
        <v>8</v>
      </c>
      <c r="U34" s="1570">
        <f t="shared" si="13"/>
        <v>100</v>
      </c>
      <c r="V34" s="1569" t="s">
        <v>8</v>
      </c>
      <c r="W34" s="1570">
        <f t="shared" si="14"/>
        <v>100</v>
      </c>
      <c r="X34" s="1571"/>
      <c r="Y34" s="3404"/>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4" t="s">
        <v>549</v>
      </c>
      <c r="Q35" s="1573" t="str">
        <f t="shared" si="11"/>
        <v>市政基础设施</v>
      </c>
      <c r="R35" s="1574" t="s">
        <v>8</v>
      </c>
      <c r="S35" s="1575">
        <f t="shared" si="12"/>
        <v>100</v>
      </c>
      <c r="T35" s="1574" t="s">
        <v>8</v>
      </c>
      <c r="U35" s="1575">
        <f t="shared" si="13"/>
        <v>100</v>
      </c>
      <c r="V35" s="1574" t="s">
        <v>8</v>
      </c>
      <c r="W35" s="1575">
        <f t="shared" si="14"/>
        <v>100</v>
      </c>
      <c r="X35" s="1568"/>
      <c r="Y35" s="3404"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4"/>
      <c r="Q36" s="1573" t="str">
        <f t="shared" si="11"/>
        <v>内部装修</v>
      </c>
      <c r="R36" s="1574" t="s">
        <v>8</v>
      </c>
      <c r="S36" s="1575">
        <f t="shared" si="12"/>
        <v>100</v>
      </c>
      <c r="T36" s="1574" t="s">
        <v>8</v>
      </c>
      <c r="U36" s="1575">
        <f t="shared" si="13"/>
        <v>100</v>
      </c>
      <c r="V36" s="1574" t="s">
        <v>8</v>
      </c>
      <c r="W36" s="1575">
        <f t="shared" si="14"/>
        <v>100</v>
      </c>
      <c r="X36" s="1568"/>
      <c r="Y36" s="3404"/>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4"/>
      <c r="Q37" s="1573" t="str">
        <f t="shared" si="11"/>
        <v>内部装修状况</v>
      </c>
      <c r="R37" s="1574" t="s">
        <v>8</v>
      </c>
      <c r="S37" s="1575">
        <f t="shared" si="12"/>
        <v>100</v>
      </c>
      <c r="T37" s="1574" t="s">
        <v>8</v>
      </c>
      <c r="U37" s="1575">
        <f t="shared" si="13"/>
        <v>100</v>
      </c>
      <c r="V37" s="1574" t="s">
        <v>8</v>
      </c>
      <c r="W37" s="1575">
        <f t="shared" si="14"/>
        <v>100</v>
      </c>
      <c r="X37" s="1568"/>
      <c r="Y37" s="340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4"/>
      <c r="Q38" s="1606">
        <f t="shared" si="11"/>
        <v>111</v>
      </c>
      <c r="R38" s="1578" t="s">
        <v>8</v>
      </c>
      <c r="S38" s="1579">
        <f t="shared" si="12"/>
        <v>100</v>
      </c>
      <c r="T38" s="1578" t="s">
        <v>8</v>
      </c>
      <c r="U38" s="1579">
        <f t="shared" si="13"/>
        <v>100</v>
      </c>
      <c r="V38" s="1578" t="s">
        <v>8</v>
      </c>
      <c r="W38" s="1579">
        <f t="shared" si="14"/>
        <v>100</v>
      </c>
      <c r="X38" s="1580"/>
      <c r="Y38" s="340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4"/>
      <c r="Q39" s="1573">
        <f t="shared" si="11"/>
        <v>111</v>
      </c>
      <c r="R39" s="1574" t="s">
        <v>8</v>
      </c>
      <c r="S39" s="1575">
        <f t="shared" si="12"/>
        <v>100</v>
      </c>
      <c r="T39" s="1574" t="s">
        <v>8</v>
      </c>
      <c r="U39" s="1575">
        <f t="shared" si="13"/>
        <v>100</v>
      </c>
      <c r="V39" s="1574" t="s">
        <v>8</v>
      </c>
      <c r="W39" s="1575">
        <f t="shared" si="14"/>
        <v>100</v>
      </c>
      <c r="X39" s="1568"/>
      <c r="Y39" s="340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735</v>
      </c>
      <c r="B41" s="887"/>
      <c r="C41" s="2626" t="s">
        <v>1</v>
      </c>
      <c r="D41" s="2627"/>
      <c r="E41" s="2628"/>
      <c r="F41" s="2629"/>
      <c r="G41" s="2630"/>
      <c r="H41" s="2631"/>
      <c r="I41" s="2628"/>
      <c r="J41" s="2631"/>
      <c r="K41" s="1612"/>
      <c r="L41" s="2145"/>
      <c r="M41" s="2146"/>
      <c r="N41" s="2135"/>
      <c r="O41" s="2146"/>
      <c r="P41" s="3367" t="str">
        <f>A41</f>
        <v>成交单价（元/平方米）</v>
      </c>
      <c r="Q41" s="3367"/>
      <c r="R41" s="3474">
        <f>E41</f>
        <v>0</v>
      </c>
      <c r="S41" s="3474"/>
      <c r="T41" s="3474">
        <f>G41</f>
        <v>0</v>
      </c>
      <c r="U41" s="3474"/>
      <c r="V41" s="3474">
        <f>I41</f>
        <v>0</v>
      </c>
      <c r="W41" s="3474"/>
      <c r="X41" s="1560"/>
      <c r="Y41" s="1582"/>
      <c r="Z41" s="1560"/>
      <c r="AA41" s="1560"/>
      <c r="AB41" s="1560"/>
      <c r="AC41" s="1560"/>
    </row>
    <row r="42" spans="1:29" ht="15.75" thickBot="1">
      <c r="A42" s="615" t="s">
        <v>2759</v>
      </c>
      <c r="B42" s="888"/>
      <c r="C42" s="2632" t="e">
        <f>R43</f>
        <v>#DIV/0!</v>
      </c>
      <c r="D42" s="2633"/>
      <c r="E42" s="2634" t="e">
        <f>R42</f>
        <v>#DIV/0!</v>
      </c>
      <c r="F42" s="2634"/>
      <c r="G42" s="2632" t="e">
        <f>T42</f>
        <v>#DIV/0!</v>
      </c>
      <c r="H42" s="2633"/>
      <c r="I42" s="2634" t="e">
        <f>V42</f>
        <v>#DIV/0!</v>
      </c>
      <c r="J42" s="2633"/>
      <c r="K42" s="1613"/>
      <c r="L42" s="2145"/>
      <c r="M42" s="2146"/>
      <c r="N42" s="2135"/>
      <c r="O42" s="2146"/>
      <c r="P42" s="3367" t="str">
        <f>A42</f>
        <v>比较价格（元/平方米）</v>
      </c>
      <c r="Q42" s="3367"/>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2933</v>
      </c>
      <c r="B43" s="622"/>
      <c r="C43" s="2635" t="e">
        <f>R43</f>
        <v>#DIV/0!</v>
      </c>
      <c r="D43" s="2635"/>
      <c r="E43" s="2635"/>
      <c r="F43" s="2635"/>
      <c r="G43" s="2635"/>
      <c r="H43" s="2635"/>
      <c r="I43" s="2635"/>
      <c r="J43" s="2635"/>
      <c r="K43" s="1614"/>
      <c r="L43" s="2145"/>
      <c r="M43" s="2146"/>
      <c r="N43" s="2146"/>
      <c r="O43" s="2146"/>
      <c r="P43" s="3364" t="str">
        <f>A43</f>
        <v>估价对象XX用房的比较价格（楼面单价，元/平方米）</v>
      </c>
      <c r="Q43" s="3365"/>
      <c r="R43" s="3473" t="e">
        <f>IF(F1="售价",ROUND(AVERAGE(R42:V42),0),ROUND(AVERAGE(R42:V42),1))</f>
        <v>#DIV/0!</v>
      </c>
      <c r="S43" s="3473"/>
      <c r="T43" s="3473"/>
      <c r="U43" s="3473"/>
      <c r="V43" s="3473"/>
      <c r="W43" s="347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573</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528</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6" t="s">
        <v>2557</v>
      </c>
      <c r="C76" s="2597" t="s">
        <v>2558</v>
      </c>
      <c r="D76" s="2597" t="s">
        <v>2559</v>
      </c>
      <c r="E76" s="2597" t="s">
        <v>2560</v>
      </c>
      <c r="F76" s="2597" t="s">
        <v>2561</v>
      </c>
      <c r="G76" s="2597"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73" t="s">
        <v>797</v>
      </c>
      <c r="D4" s="3374"/>
      <c r="E4" s="3373" t="s">
        <v>798</v>
      </c>
      <c r="F4" s="3374"/>
      <c r="G4" s="3373" t="s">
        <v>799</v>
      </c>
      <c r="H4" s="3374"/>
      <c r="I4" s="3373" t="s">
        <v>800</v>
      </c>
      <c r="J4" s="3374"/>
      <c r="K4" s="514" t="s">
        <v>801</v>
      </c>
      <c r="L4" s="2134"/>
      <c r="M4" s="2135"/>
      <c r="N4" s="2135"/>
      <c r="O4" s="2135"/>
      <c r="P4" s="3375" t="s">
        <v>802</v>
      </c>
      <c r="Q4" s="3376"/>
      <c r="R4" s="3381" t="s">
        <v>798</v>
      </c>
      <c r="S4" s="3382"/>
      <c r="T4" s="3381" t="s">
        <v>799</v>
      </c>
      <c r="U4" s="3382"/>
      <c r="V4" s="3368" t="s">
        <v>800</v>
      </c>
      <c r="W4" s="3368"/>
      <c r="X4" s="1568"/>
      <c r="Y4" s="3381" t="s">
        <v>802</v>
      </c>
      <c r="Z4" s="3382"/>
      <c r="AA4" s="3370" t="s">
        <v>798</v>
      </c>
      <c r="AB4" s="3371" t="s">
        <v>799</v>
      </c>
      <c r="AC4" s="3370" t="s">
        <v>800</v>
      </c>
    </row>
    <row r="5" spans="1:29" ht="15">
      <c r="A5" s="515"/>
      <c r="B5" s="516"/>
      <c r="C5" s="3389" t="s">
        <v>2927</v>
      </c>
      <c r="D5" s="3390"/>
      <c r="E5" s="3389" t="s">
        <v>2928</v>
      </c>
      <c r="F5" s="3390"/>
      <c r="G5" s="3389" t="s">
        <v>2929</v>
      </c>
      <c r="H5" s="3390"/>
      <c r="I5" s="3389" t="s">
        <v>2930</v>
      </c>
      <c r="J5" s="3390"/>
      <c r="K5" s="514"/>
      <c r="L5" s="2134"/>
      <c r="M5" s="2135"/>
      <c r="N5" s="2135"/>
      <c r="O5" s="2135"/>
      <c r="P5" s="3377"/>
      <c r="Q5" s="3378"/>
      <c r="R5" s="3383"/>
      <c r="S5" s="3384"/>
      <c r="T5" s="3383"/>
      <c r="U5" s="3384"/>
      <c r="V5" s="3368"/>
      <c r="W5" s="3368"/>
      <c r="X5" s="1568"/>
      <c r="Y5" s="3383"/>
      <c r="Z5" s="3384"/>
      <c r="AA5" s="3371"/>
      <c r="AB5" s="3371"/>
      <c r="AC5" s="3371"/>
    </row>
    <row r="6" spans="1:29" ht="15.75" thickBot="1">
      <c r="A6" s="517"/>
      <c r="B6" s="518"/>
      <c r="C6" s="3387" t="s">
        <v>2931</v>
      </c>
      <c r="D6" s="3388"/>
      <c r="E6" s="3391" t="s">
        <v>2931</v>
      </c>
      <c r="F6" s="3392"/>
      <c r="G6" s="3387" t="s">
        <v>2931</v>
      </c>
      <c r="H6" s="3388"/>
      <c r="I6" s="3387" t="s">
        <v>2931</v>
      </c>
      <c r="J6" s="3388"/>
      <c r="K6" s="514" t="s">
        <v>527</v>
      </c>
      <c r="L6" s="2134"/>
      <c r="M6" s="2135"/>
      <c r="N6" s="2135"/>
      <c r="O6" s="2135"/>
      <c r="P6" s="3379"/>
      <c r="Q6" s="3380"/>
      <c r="R6" s="3383"/>
      <c r="S6" s="3384"/>
      <c r="T6" s="3385"/>
      <c r="U6" s="3386"/>
      <c r="V6" s="3368"/>
      <c r="W6" s="3368"/>
      <c r="X6" s="1568"/>
      <c r="Y6" s="3385"/>
      <c r="Z6" s="3386"/>
      <c r="AA6" s="3372"/>
      <c r="AB6" s="3372"/>
      <c r="AC6" s="3372"/>
    </row>
    <row r="7" spans="1:29" s="1220" customFormat="1" ht="15.75" thickBot="1">
      <c r="A7" s="2911"/>
      <c r="B7" s="2918" t="s">
        <v>528</v>
      </c>
      <c r="C7" s="519">
        <f>'数据-取费表'!B2</f>
        <v>43426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8" t="s">
        <v>529</v>
      </c>
      <c r="Q7" s="3400"/>
      <c r="R7" s="1569" t="s">
        <v>8</v>
      </c>
      <c r="S7" s="1570">
        <f t="shared" ref="S7:S14" si="0">F7</f>
        <v>0</v>
      </c>
      <c r="T7" s="1569" t="s">
        <v>8</v>
      </c>
      <c r="U7" s="1570">
        <f t="shared" ref="U7:U14" si="1">H7</f>
        <v>0</v>
      </c>
      <c r="V7" s="1569" t="s">
        <v>8</v>
      </c>
      <c r="W7" s="1570">
        <f t="shared" ref="W7:W14"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8" t="s">
        <v>532</v>
      </c>
      <c r="Q8" s="3399"/>
      <c r="R8" s="1569" t="s">
        <v>8</v>
      </c>
      <c r="S8" s="1570">
        <f t="shared" si="0"/>
        <v>0</v>
      </c>
      <c r="T8" s="1569" t="s">
        <v>8</v>
      </c>
      <c r="U8" s="1570">
        <f t="shared" si="1"/>
        <v>0</v>
      </c>
      <c r="V8" s="1569" t="s">
        <v>8</v>
      </c>
      <c r="W8" s="1570">
        <f t="shared" si="2"/>
        <v>0</v>
      </c>
      <c r="X8" s="1571"/>
      <c r="Y8" s="3398" t="s">
        <v>532</v>
      </c>
      <c r="Z8" s="3399"/>
      <c r="AA8" s="1572" t="e">
        <f t="shared" ref="AA8:AA36" si="3">D8/F8</f>
        <v>#DIV/0!</v>
      </c>
      <c r="AB8" s="1572" t="e">
        <f t="shared" ref="AB8:AB36" si="4">D8/H8</f>
        <v>#DIV/0!</v>
      </c>
      <c r="AC8" s="1572" t="e">
        <f t="shared" ref="AC8:AC36" si="5">D8/J8</f>
        <v>#DIV/0!</v>
      </c>
    </row>
    <row r="9" spans="1:29" s="1220" customFormat="1" ht="15">
      <c r="A9" s="2913"/>
      <c r="B9" s="2920"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7" t="s">
        <v>534</v>
      </c>
      <c r="Q9" s="1151" t="str">
        <f t="shared" ref="Q9:Q14" si="6">B9</f>
        <v>用途</v>
      </c>
      <c r="R9" s="1569" t="s">
        <v>8</v>
      </c>
      <c r="S9" s="1570">
        <f t="shared" si="0"/>
        <v>100</v>
      </c>
      <c r="T9" s="1569" t="s">
        <v>8</v>
      </c>
      <c r="U9" s="1570">
        <f t="shared" si="1"/>
        <v>100</v>
      </c>
      <c r="V9" s="1569" t="s">
        <v>8</v>
      </c>
      <c r="W9" s="1570">
        <f t="shared" si="2"/>
        <v>100</v>
      </c>
      <c r="X9" s="1571"/>
      <c r="Y9" s="3307"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7"/>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7"/>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7"/>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2"/>
      <c r="Q15" s="1573"/>
      <c r="R15" s="1574"/>
      <c r="S15" s="1575"/>
      <c r="T15" s="1574"/>
      <c r="U15" s="1575"/>
      <c r="V15" s="1574"/>
      <c r="W15" s="1575"/>
      <c r="X15" s="1568"/>
      <c r="Y15" s="3402"/>
      <c r="Z15" s="1576"/>
      <c r="AA15" s="1577">
        <v>1</v>
      </c>
      <c r="AB15" s="1577">
        <v>1</v>
      </c>
      <c r="AC15" s="1577">
        <v>1</v>
      </c>
    </row>
    <row r="16" spans="1:29" ht="42.75">
      <c r="A16" s="515"/>
      <c r="B16" s="2602"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2"/>
      <c r="Q17" s="1573"/>
      <c r="R17" s="1574"/>
      <c r="S17" s="1575"/>
      <c r="T17" s="1574"/>
      <c r="U17" s="1575"/>
      <c r="V17" s="1574"/>
      <c r="W17" s="1575"/>
      <c r="X17" s="1568"/>
      <c r="Y17" s="3402"/>
      <c r="Z17" s="1576"/>
      <c r="AA17" s="1577">
        <v>1</v>
      </c>
      <c r="AB17" s="1577">
        <v>1</v>
      </c>
      <c r="AC17" s="1577">
        <v>1</v>
      </c>
    </row>
    <row r="18" spans="1:29" ht="28.5">
      <c r="A18" s="515"/>
      <c r="B18" s="2590"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2"/>
      <c r="Q18" s="2578" t="str">
        <f>B18</f>
        <v>基础设施水平</v>
      </c>
      <c r="R18" s="1574" t="s">
        <v>8</v>
      </c>
      <c r="S18" s="1575">
        <f>F18</f>
        <v>100</v>
      </c>
      <c r="T18" s="1574" t="s">
        <v>8</v>
      </c>
      <c r="U18" s="1575">
        <f>H18</f>
        <v>100</v>
      </c>
      <c r="V18" s="1574" t="s">
        <v>8</v>
      </c>
      <c r="W18" s="1575">
        <f>J18</f>
        <v>100</v>
      </c>
      <c r="X18" s="2580"/>
      <c r="Y18" s="3402"/>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3"/>
      <c r="M19" s="2135"/>
      <c r="N19" s="2135"/>
      <c r="O19" s="2142"/>
      <c r="P19" s="3402"/>
      <c r="Q19" s="2578"/>
      <c r="R19" s="1574"/>
      <c r="S19" s="1575"/>
      <c r="T19" s="1574"/>
      <c r="U19" s="1575"/>
      <c r="V19" s="1574"/>
      <c r="W19" s="1575"/>
      <c r="X19" s="2580"/>
      <c r="Y19" s="3402"/>
      <c r="Z19" s="2579"/>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2"/>
      <c r="Q21" s="1573"/>
      <c r="R21" s="1574"/>
      <c r="S21" s="1575"/>
      <c r="T21" s="1574"/>
      <c r="U21" s="1575"/>
      <c r="V21" s="1574"/>
      <c r="W21" s="1575"/>
      <c r="X21" s="1568"/>
      <c r="Y21" s="3402"/>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2"/>
      <c r="Q24" s="1573">
        <f t="shared" ref="Q24:Q36"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6"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3"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4"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4"/>
      <c r="Q27" s="1606" t="str">
        <f t="shared" si="11"/>
        <v>项目停车位配比</v>
      </c>
      <c r="R27" s="1578" t="s">
        <v>8</v>
      </c>
      <c r="S27" s="1579">
        <f t="shared" si="12"/>
        <v>100</v>
      </c>
      <c r="T27" s="1578" t="s">
        <v>8</v>
      </c>
      <c r="U27" s="1579">
        <f t="shared" si="13"/>
        <v>100</v>
      </c>
      <c r="V27" s="1578" t="s">
        <v>8</v>
      </c>
      <c r="W27" s="1579">
        <f t="shared" si="14"/>
        <v>100</v>
      </c>
      <c r="X27" s="1580"/>
      <c r="Y27" s="3404"/>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4"/>
      <c r="Q28" s="1573" t="str">
        <f t="shared" si="11"/>
        <v>公共部分装修</v>
      </c>
      <c r="R28" s="1574" t="s">
        <v>8</v>
      </c>
      <c r="S28" s="1575">
        <f t="shared" si="12"/>
        <v>100</v>
      </c>
      <c r="T28" s="1574" t="s">
        <v>8</v>
      </c>
      <c r="U28" s="1575">
        <f t="shared" si="13"/>
        <v>100</v>
      </c>
      <c r="V28" s="1574" t="s">
        <v>8</v>
      </c>
      <c r="W28" s="1575">
        <f t="shared" si="14"/>
        <v>100</v>
      </c>
      <c r="X28" s="1568"/>
      <c r="Y28" s="3404"/>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4"/>
      <c r="Q29" s="1573" t="str">
        <f t="shared" si="11"/>
        <v>成新率</v>
      </c>
      <c r="R29" s="1574" t="s">
        <v>8</v>
      </c>
      <c r="S29" s="1575" t="e">
        <f t="shared" si="12"/>
        <v>#N/A</v>
      </c>
      <c r="T29" s="1574" t="s">
        <v>8</v>
      </c>
      <c r="U29" s="1575" t="e">
        <f t="shared" si="13"/>
        <v>#N/A</v>
      </c>
      <c r="V29" s="1574" t="s">
        <v>8</v>
      </c>
      <c r="W29" s="1575" t="e">
        <f t="shared" si="14"/>
        <v>#N/A</v>
      </c>
      <c r="X29" s="1568"/>
      <c r="Y29" s="3404"/>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4"/>
      <c r="Q30" s="1573" t="str">
        <f t="shared" si="11"/>
        <v>物业等级</v>
      </c>
      <c r="R30" s="1574" t="s">
        <v>8</v>
      </c>
      <c r="S30" s="1575">
        <f t="shared" si="12"/>
        <v>100</v>
      </c>
      <c r="T30" s="1574" t="s">
        <v>8</v>
      </c>
      <c r="U30" s="1575">
        <f t="shared" si="13"/>
        <v>100</v>
      </c>
      <c r="V30" s="1574" t="s">
        <v>8</v>
      </c>
      <c r="W30" s="1575">
        <f t="shared" si="14"/>
        <v>100</v>
      </c>
      <c r="X30" s="1568"/>
      <c r="Y30" s="3404"/>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4"/>
      <c r="Q31" s="1151" t="str">
        <f t="shared" si="11"/>
        <v>停车位面积</v>
      </c>
      <c r="R31" s="1569" t="s">
        <v>8</v>
      </c>
      <c r="S31" s="1570" t="e">
        <f t="shared" si="12"/>
        <v>#N/A</v>
      </c>
      <c r="T31" s="1569" t="s">
        <v>8</v>
      </c>
      <c r="U31" s="1570" t="e">
        <f t="shared" si="13"/>
        <v>#N/A</v>
      </c>
      <c r="V31" s="1569" t="s">
        <v>8</v>
      </c>
      <c r="W31" s="1570" t="e">
        <f t="shared" si="14"/>
        <v>#N/A</v>
      </c>
      <c r="X31" s="1571"/>
      <c r="Y31" s="3404"/>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4" t="s">
        <v>549</v>
      </c>
      <c r="Q32" s="1573" t="str">
        <f t="shared" si="11"/>
        <v>车位类型</v>
      </c>
      <c r="R32" s="1574" t="s">
        <v>8</v>
      </c>
      <c r="S32" s="1575">
        <f t="shared" si="12"/>
        <v>100</v>
      </c>
      <c r="T32" s="1574" t="s">
        <v>8</v>
      </c>
      <c r="U32" s="1575">
        <f t="shared" si="13"/>
        <v>100</v>
      </c>
      <c r="V32" s="1574" t="s">
        <v>8</v>
      </c>
      <c r="W32" s="1575">
        <f t="shared" si="14"/>
        <v>100</v>
      </c>
      <c r="X32" s="1568"/>
      <c r="Y32" s="3404"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4"/>
      <c r="Q33" s="1573" t="str">
        <f t="shared" si="11"/>
        <v>是否直接入户</v>
      </c>
      <c r="R33" s="1574" t="s">
        <v>8</v>
      </c>
      <c r="S33" s="1575">
        <f t="shared" si="12"/>
        <v>100</v>
      </c>
      <c r="T33" s="1574" t="s">
        <v>8</v>
      </c>
      <c r="U33" s="1575">
        <f t="shared" si="13"/>
        <v>100</v>
      </c>
      <c r="V33" s="1574" t="s">
        <v>8</v>
      </c>
      <c r="W33" s="1575">
        <f t="shared" si="14"/>
        <v>100</v>
      </c>
      <c r="X33" s="1568"/>
      <c r="Y33" s="340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4"/>
      <c r="Q35" s="1606">
        <f t="shared" si="11"/>
        <v>111</v>
      </c>
      <c r="R35" s="1578" t="s">
        <v>8</v>
      </c>
      <c r="S35" s="1579">
        <f t="shared" si="12"/>
        <v>100</v>
      </c>
      <c r="T35" s="1578" t="s">
        <v>8</v>
      </c>
      <c r="U35" s="1579">
        <f t="shared" si="13"/>
        <v>100</v>
      </c>
      <c r="V35" s="1578" t="s">
        <v>8</v>
      </c>
      <c r="W35" s="1579">
        <f t="shared" si="14"/>
        <v>100</v>
      </c>
      <c r="X35" s="1580"/>
      <c r="Y35" s="340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4"/>
      <c r="Q36" s="1573">
        <f t="shared" si="11"/>
        <v>111</v>
      </c>
      <c r="R36" s="1574" t="s">
        <v>8</v>
      </c>
      <c r="S36" s="1575">
        <f t="shared" si="12"/>
        <v>100</v>
      </c>
      <c r="T36" s="1574" t="s">
        <v>8</v>
      </c>
      <c r="U36" s="1575">
        <f t="shared" si="13"/>
        <v>100</v>
      </c>
      <c r="V36" s="1574" t="s">
        <v>8</v>
      </c>
      <c r="W36" s="1575">
        <f t="shared" si="14"/>
        <v>100</v>
      </c>
      <c r="X36" s="1568"/>
      <c r="Y36" s="3404"/>
      <c r="Z36" s="1576">
        <f t="shared" si="15"/>
        <v>111</v>
      </c>
      <c r="AA36" s="1577">
        <f t="shared" si="3"/>
        <v>1</v>
      </c>
      <c r="AB36" s="1577">
        <f t="shared" si="4"/>
        <v>1</v>
      </c>
      <c r="AC36" s="1577">
        <f t="shared" si="5"/>
        <v>1</v>
      </c>
    </row>
    <row r="37" spans="1:29" ht="15">
      <c r="A37" s="1847" t="s">
        <v>2078</v>
      </c>
      <c r="B37" s="1848" t="s">
        <v>2079</v>
      </c>
      <c r="C37" s="2626" t="s">
        <v>1</v>
      </c>
      <c r="D37" s="2627"/>
      <c r="E37" s="2628"/>
      <c r="F37" s="2629"/>
      <c r="G37" s="2630"/>
      <c r="H37" s="2631"/>
      <c r="I37" s="2628"/>
      <c r="J37" s="2631"/>
      <c r="K37" s="1612"/>
      <c r="L37" s="2145"/>
      <c r="M37" s="2146"/>
      <c r="N37" s="2135"/>
      <c r="O37" s="2146"/>
      <c r="P37" s="3367" t="str">
        <f>A37</f>
        <v>成交单价</v>
      </c>
      <c r="Q37" s="3367"/>
      <c r="R37" s="3474">
        <f>E37</f>
        <v>0</v>
      </c>
      <c r="S37" s="3474"/>
      <c r="T37" s="3474">
        <f>G37</f>
        <v>0</v>
      </c>
      <c r="U37" s="3474"/>
      <c r="V37" s="3474">
        <f>I37</f>
        <v>0</v>
      </c>
      <c r="W37" s="3474"/>
      <c r="X37" s="1560"/>
      <c r="Y37" s="1582"/>
      <c r="Z37" s="1560"/>
      <c r="AA37" s="1560"/>
      <c r="AB37" s="1560"/>
      <c r="AC37" s="1560"/>
    </row>
    <row r="38" spans="1:29" ht="15.75" thickBot="1">
      <c r="A38" s="615" t="s">
        <v>2759</v>
      </c>
      <c r="B38" s="888"/>
      <c r="C38" s="2632" t="e">
        <f>R39</f>
        <v>#DIV/0!</v>
      </c>
      <c r="D38" s="2633"/>
      <c r="E38" s="2634" t="e">
        <f>R38</f>
        <v>#DIV/0!</v>
      </c>
      <c r="F38" s="2634"/>
      <c r="G38" s="2632" t="e">
        <f>T38</f>
        <v>#DIV/0!</v>
      </c>
      <c r="H38" s="2633"/>
      <c r="I38" s="2634" t="e">
        <f>V38</f>
        <v>#DIV/0!</v>
      </c>
      <c r="J38" s="2633"/>
      <c r="K38" s="1613"/>
      <c r="L38" s="2145"/>
      <c r="M38" s="2146"/>
      <c r="N38" s="2146"/>
      <c r="O38" s="2146"/>
      <c r="P38" s="3367" t="str">
        <f>A38</f>
        <v>比较价格（元/平方米）</v>
      </c>
      <c r="Q38" s="3367"/>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2933</v>
      </c>
      <c r="B39" s="622"/>
      <c r="C39" s="2635" t="e">
        <f>R39</f>
        <v>#DIV/0!</v>
      </c>
      <c r="D39" s="2635"/>
      <c r="E39" s="2635"/>
      <c r="F39" s="2635"/>
      <c r="G39" s="2635"/>
      <c r="H39" s="2635"/>
      <c r="I39" s="2635"/>
      <c r="J39" s="2635"/>
      <c r="K39" s="1614"/>
      <c r="L39" s="2145"/>
      <c r="M39" s="2146"/>
      <c r="N39" s="2146"/>
      <c r="O39" s="2146"/>
      <c r="P39" s="3364" t="str">
        <f>A39</f>
        <v>估价对象XX用房的比较价格（楼面单价，元/平方米）</v>
      </c>
      <c r="Q39" s="3365"/>
      <c r="R39" s="3473" t="e">
        <f>IF(F1="售价",ROUND(AVERAGE(R38:V38),0),ROUND(AVERAGE(R38:V38),1))</f>
        <v>#DIV/0!</v>
      </c>
      <c r="S39" s="3473"/>
      <c r="T39" s="3473"/>
      <c r="U39" s="3473"/>
      <c r="V39" s="3473"/>
      <c r="W39" s="347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573</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73" t="s">
        <v>797</v>
      </c>
      <c r="D4" s="3374"/>
      <c r="E4" s="3407" t="s">
        <v>798</v>
      </c>
      <c r="F4" s="3408"/>
      <c r="G4" s="3373" t="s">
        <v>799</v>
      </c>
      <c r="H4" s="3374"/>
      <c r="I4" s="3373" t="s">
        <v>800</v>
      </c>
      <c r="J4" s="3374"/>
      <c r="K4" s="514" t="s">
        <v>801</v>
      </c>
      <c r="L4" s="2134"/>
      <c r="M4" s="2135"/>
      <c r="N4" s="2135"/>
      <c r="O4" s="2135"/>
      <c r="P4" s="3375" t="s">
        <v>802</v>
      </c>
      <c r="Q4" s="3376"/>
      <c r="R4" s="3381" t="s">
        <v>798</v>
      </c>
      <c r="S4" s="3382"/>
      <c r="T4" s="3381" t="s">
        <v>799</v>
      </c>
      <c r="U4" s="3382"/>
      <c r="V4" s="3368" t="s">
        <v>800</v>
      </c>
      <c r="W4" s="3368"/>
      <c r="X4" s="1568"/>
      <c r="Y4" s="3381" t="s">
        <v>802</v>
      </c>
      <c r="Z4" s="3382"/>
      <c r="AA4" s="3370" t="s">
        <v>798</v>
      </c>
      <c r="AB4" s="3371" t="s">
        <v>799</v>
      </c>
      <c r="AC4" s="3370" t="s">
        <v>800</v>
      </c>
    </row>
    <row r="5" spans="1:29" ht="15">
      <c r="A5" s="515"/>
      <c r="B5" s="516"/>
      <c r="C5" s="3389" t="s">
        <v>2927</v>
      </c>
      <c r="D5" s="3390"/>
      <c r="E5" s="3409" t="s">
        <v>2928</v>
      </c>
      <c r="F5" s="3410"/>
      <c r="G5" s="3389" t="s">
        <v>2929</v>
      </c>
      <c r="H5" s="3390"/>
      <c r="I5" s="3389" t="s">
        <v>2930</v>
      </c>
      <c r="J5" s="3390"/>
      <c r="K5" s="514"/>
      <c r="L5" s="2134"/>
      <c r="M5" s="2135"/>
      <c r="N5" s="2135"/>
      <c r="O5" s="2135"/>
      <c r="P5" s="3377"/>
      <c r="Q5" s="3378"/>
      <c r="R5" s="3383"/>
      <c r="S5" s="3384"/>
      <c r="T5" s="3383"/>
      <c r="U5" s="3384"/>
      <c r="V5" s="3368"/>
      <c r="W5" s="3368"/>
      <c r="X5" s="1568"/>
      <c r="Y5" s="3383"/>
      <c r="Z5" s="3384"/>
      <c r="AA5" s="3371"/>
      <c r="AB5" s="3371"/>
      <c r="AC5" s="3371"/>
    </row>
    <row r="6" spans="1:29" ht="15.75" thickBot="1">
      <c r="A6" s="517"/>
      <c r="B6" s="518"/>
      <c r="C6" s="3387" t="s">
        <v>2931</v>
      </c>
      <c r="D6" s="3388"/>
      <c r="E6" s="3405" t="s">
        <v>2931</v>
      </c>
      <c r="F6" s="3406"/>
      <c r="G6" s="3387" t="s">
        <v>2931</v>
      </c>
      <c r="H6" s="3388"/>
      <c r="I6" s="3387" t="s">
        <v>2931</v>
      </c>
      <c r="J6" s="3388"/>
      <c r="K6" s="514" t="s">
        <v>527</v>
      </c>
      <c r="L6" s="2134"/>
      <c r="M6" s="2135"/>
      <c r="N6" s="2135"/>
      <c r="O6" s="2135"/>
      <c r="P6" s="3379"/>
      <c r="Q6" s="3380"/>
      <c r="R6" s="3383"/>
      <c r="S6" s="3384"/>
      <c r="T6" s="3385"/>
      <c r="U6" s="3386"/>
      <c r="V6" s="3368"/>
      <c r="W6" s="3368"/>
      <c r="X6" s="1568"/>
      <c r="Y6" s="3385"/>
      <c r="Z6" s="3386"/>
      <c r="AA6" s="3372"/>
      <c r="AB6" s="3372"/>
      <c r="AC6" s="3372"/>
    </row>
    <row r="7" spans="1:29" s="1220" customFormat="1" ht="15.75" thickBot="1">
      <c r="A7" s="2911"/>
      <c r="B7" s="2918" t="s">
        <v>528</v>
      </c>
      <c r="C7" s="519">
        <f>'数据-取费表'!B2</f>
        <v>43426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8" t="s">
        <v>529</v>
      </c>
      <c r="Q7" s="3400"/>
      <c r="R7" s="1569" t="s">
        <v>8</v>
      </c>
      <c r="S7" s="1570">
        <f t="shared" ref="S7:S14" si="0">F7</f>
        <v>0</v>
      </c>
      <c r="T7" s="1569" t="s">
        <v>8</v>
      </c>
      <c r="U7" s="1570">
        <f t="shared" ref="U7:U14" si="1">H7</f>
        <v>0</v>
      </c>
      <c r="V7" s="1569" t="s">
        <v>8</v>
      </c>
      <c r="W7" s="1570">
        <f t="shared" ref="W7:W14" si="2">J7</f>
        <v>0</v>
      </c>
      <c r="X7" s="1571"/>
      <c r="Y7" s="3398" t="s">
        <v>529</v>
      </c>
      <c r="Z7" s="3399"/>
      <c r="AA7" s="1572" t="e">
        <f>D7/F7</f>
        <v>#DIV/0!</v>
      </c>
      <c r="AB7" s="1572" t="e">
        <f>D7/H7</f>
        <v>#DIV/0!</v>
      </c>
      <c r="AC7" s="1572" t="e">
        <f>D7/J7</f>
        <v>#DIV/0!</v>
      </c>
    </row>
    <row r="8" spans="1:29" s="1220"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8" t="s">
        <v>532</v>
      </c>
      <c r="Q8" s="3399"/>
      <c r="R8" s="1569" t="s">
        <v>8</v>
      </c>
      <c r="S8" s="1570">
        <f t="shared" si="0"/>
        <v>0</v>
      </c>
      <c r="T8" s="1569" t="s">
        <v>8</v>
      </c>
      <c r="U8" s="1570">
        <f t="shared" si="1"/>
        <v>0</v>
      </c>
      <c r="V8" s="1569" t="s">
        <v>8</v>
      </c>
      <c r="W8" s="1570">
        <f t="shared" si="2"/>
        <v>0</v>
      </c>
      <c r="X8" s="1571"/>
      <c r="Y8" s="3398" t="s">
        <v>532</v>
      </c>
      <c r="Z8" s="3399"/>
      <c r="AA8" s="1572" t="e">
        <f t="shared" ref="AA8:AA34" si="3">D8/F8</f>
        <v>#DIV/0!</v>
      </c>
      <c r="AB8" s="1572" t="e">
        <f t="shared" ref="AB8:AB34" si="4">D8/H8</f>
        <v>#DIV/0!</v>
      </c>
      <c r="AC8" s="1572" t="e">
        <f t="shared" ref="AC8:AC34" si="5">D8/J8</f>
        <v>#DIV/0!</v>
      </c>
    </row>
    <row r="9" spans="1:29" s="1220"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7" t="s">
        <v>534</v>
      </c>
      <c r="Q9" s="1151" t="str">
        <f t="shared" ref="Q9:Q14" si="6">B9</f>
        <v>用途</v>
      </c>
      <c r="R9" s="1569" t="s">
        <v>8</v>
      </c>
      <c r="S9" s="1570">
        <f t="shared" si="0"/>
        <v>100</v>
      </c>
      <c r="T9" s="1569" t="s">
        <v>8</v>
      </c>
      <c r="U9" s="1570">
        <f t="shared" si="1"/>
        <v>100</v>
      </c>
      <c r="V9" s="1569" t="s">
        <v>8</v>
      </c>
      <c r="W9" s="1570">
        <f t="shared" si="2"/>
        <v>100</v>
      </c>
      <c r="X9" s="1571"/>
      <c r="Y9" s="3307"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7"/>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7"/>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7"/>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7"/>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2"/>
      <c r="Q15" s="1573"/>
      <c r="R15" s="1574"/>
      <c r="S15" s="1575"/>
      <c r="T15" s="1574"/>
      <c r="U15" s="1575"/>
      <c r="V15" s="1574"/>
      <c r="W15" s="1575"/>
      <c r="X15" s="1568"/>
      <c r="Y15" s="3402"/>
      <c r="Z15" s="1576"/>
      <c r="AA15" s="1577">
        <v>1</v>
      </c>
      <c r="AB15" s="1577">
        <v>1</v>
      </c>
      <c r="AC15" s="1577">
        <v>1</v>
      </c>
    </row>
    <row r="16" spans="1:29" ht="42.75">
      <c r="A16" s="532"/>
      <c r="B16" s="2602"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2"/>
      <c r="Q17" s="1573"/>
      <c r="R17" s="1574"/>
      <c r="S17" s="1575"/>
      <c r="T17" s="1574"/>
      <c r="U17" s="1575"/>
      <c r="V17" s="1574"/>
      <c r="W17" s="1575"/>
      <c r="X17" s="1568"/>
      <c r="Y17" s="3402"/>
      <c r="Z17" s="1576"/>
      <c r="AA17" s="1577">
        <v>1</v>
      </c>
      <c r="AB17" s="1577">
        <v>1</v>
      </c>
      <c r="AC17" s="1577">
        <v>1</v>
      </c>
    </row>
    <row r="18" spans="1:29" ht="28.5">
      <c r="A18" s="532"/>
      <c r="B18" s="2590"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2"/>
      <c r="Q18" s="2578" t="str">
        <f>B18</f>
        <v>基础设施水平</v>
      </c>
      <c r="R18" s="1574" t="s">
        <v>8</v>
      </c>
      <c r="S18" s="1575">
        <f>F18</f>
        <v>100</v>
      </c>
      <c r="T18" s="1574" t="s">
        <v>8</v>
      </c>
      <c r="U18" s="1575">
        <f>H18</f>
        <v>100</v>
      </c>
      <c r="V18" s="1574" t="s">
        <v>8</v>
      </c>
      <c r="W18" s="1575">
        <f>J18</f>
        <v>100</v>
      </c>
      <c r="X18" s="2580"/>
      <c r="Y18" s="3402"/>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3"/>
      <c r="M19" s="2135"/>
      <c r="N19" s="2135"/>
      <c r="O19" s="2142"/>
      <c r="P19" s="3402"/>
      <c r="Q19" s="2578"/>
      <c r="R19" s="1574"/>
      <c r="S19" s="1575"/>
      <c r="T19" s="1574"/>
      <c r="U19" s="1575"/>
      <c r="V19" s="1574"/>
      <c r="W19" s="1575"/>
      <c r="X19" s="2580"/>
      <c r="Y19" s="3402"/>
      <c r="Z19" s="2579"/>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2"/>
      <c r="Q21" s="1573"/>
      <c r="R21" s="1574"/>
      <c r="S21" s="1575"/>
      <c r="T21" s="1574"/>
      <c r="U21" s="1575"/>
      <c r="V21" s="1574"/>
      <c r="W21" s="1575"/>
      <c r="X21" s="1568"/>
      <c r="Y21" s="3402"/>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2"/>
      <c r="Q24" s="1573">
        <f t="shared" ref="Q24:Q34"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6"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3"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4"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4"/>
      <c r="Q27" s="1606" t="str">
        <f t="shared" si="11"/>
        <v>成新率</v>
      </c>
      <c r="R27" s="1578" t="s">
        <v>8</v>
      </c>
      <c r="S27" s="1579" t="e">
        <f t="shared" si="12"/>
        <v>#N/A</v>
      </c>
      <c r="T27" s="1578" t="s">
        <v>8</v>
      </c>
      <c r="U27" s="1579" t="e">
        <f t="shared" si="13"/>
        <v>#N/A</v>
      </c>
      <c r="V27" s="1578" t="s">
        <v>8</v>
      </c>
      <c r="W27" s="1579" t="e">
        <f t="shared" si="14"/>
        <v>#N/A</v>
      </c>
      <c r="X27" s="1580"/>
      <c r="Y27" s="3404"/>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4"/>
      <c r="Q28" s="1573" t="str">
        <f t="shared" si="11"/>
        <v>物业等级</v>
      </c>
      <c r="R28" s="1574" t="s">
        <v>8</v>
      </c>
      <c r="S28" s="1575">
        <f t="shared" si="12"/>
        <v>100</v>
      </c>
      <c r="T28" s="1574" t="s">
        <v>8</v>
      </c>
      <c r="U28" s="1575">
        <f t="shared" si="13"/>
        <v>100</v>
      </c>
      <c r="V28" s="1574" t="s">
        <v>8</v>
      </c>
      <c r="W28" s="1575">
        <f t="shared" si="14"/>
        <v>100</v>
      </c>
      <c r="X28" s="1568"/>
      <c r="Y28" s="3404"/>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4"/>
      <c r="Q29" s="1573" t="str">
        <f t="shared" si="11"/>
        <v>有无电梯</v>
      </c>
      <c r="R29" s="1574" t="s">
        <v>8</v>
      </c>
      <c r="S29" s="1575">
        <f t="shared" si="12"/>
        <v>100</v>
      </c>
      <c r="T29" s="1574" t="s">
        <v>8</v>
      </c>
      <c r="U29" s="1575">
        <f t="shared" si="13"/>
        <v>100</v>
      </c>
      <c r="V29" s="1574" t="s">
        <v>8</v>
      </c>
      <c r="W29" s="1575">
        <f t="shared" si="14"/>
        <v>100</v>
      </c>
      <c r="X29" s="1568"/>
      <c r="Y29" s="3404"/>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4"/>
      <c r="Q30" s="1573" t="str">
        <f t="shared" si="11"/>
        <v>建筑面积</v>
      </c>
      <c r="R30" s="1574" t="s">
        <v>8</v>
      </c>
      <c r="S30" s="1575" t="e">
        <f t="shared" si="12"/>
        <v>#N/A</v>
      </c>
      <c r="T30" s="1574" t="s">
        <v>8</v>
      </c>
      <c r="U30" s="1575" t="e">
        <f t="shared" si="13"/>
        <v>#N/A</v>
      </c>
      <c r="V30" s="1574" t="s">
        <v>8</v>
      </c>
      <c r="W30" s="1575" t="e">
        <f t="shared" si="14"/>
        <v>#N/A</v>
      </c>
      <c r="X30" s="1568"/>
      <c r="Y30" s="3404"/>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4"/>
      <c r="Q31" s="1151" t="str">
        <f t="shared" si="11"/>
        <v>是否封闭</v>
      </c>
      <c r="R31" s="1569" t="s">
        <v>8</v>
      </c>
      <c r="S31" s="1570">
        <f t="shared" si="12"/>
        <v>100</v>
      </c>
      <c r="T31" s="1569" t="s">
        <v>8</v>
      </c>
      <c r="U31" s="1570">
        <f t="shared" si="13"/>
        <v>100</v>
      </c>
      <c r="V31" s="1569" t="s">
        <v>8</v>
      </c>
      <c r="W31" s="1570">
        <f t="shared" si="14"/>
        <v>100</v>
      </c>
      <c r="X31" s="1571"/>
      <c r="Y31" s="340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4" t="s">
        <v>549</v>
      </c>
      <c r="Q32" s="1573">
        <f t="shared" si="11"/>
        <v>111</v>
      </c>
      <c r="R32" s="1574" t="s">
        <v>8</v>
      </c>
      <c r="S32" s="1575">
        <f t="shared" si="12"/>
        <v>100</v>
      </c>
      <c r="T32" s="1574" t="s">
        <v>8</v>
      </c>
      <c r="U32" s="1575">
        <f t="shared" si="13"/>
        <v>100</v>
      </c>
      <c r="V32" s="1574" t="s">
        <v>8</v>
      </c>
      <c r="W32" s="1575">
        <f t="shared" si="14"/>
        <v>100</v>
      </c>
      <c r="X32" s="1568"/>
      <c r="Y32" s="3404"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4"/>
      <c r="Q33" s="1573">
        <f t="shared" si="11"/>
        <v>111</v>
      </c>
      <c r="R33" s="1574" t="s">
        <v>8</v>
      </c>
      <c r="S33" s="1575">
        <f t="shared" si="12"/>
        <v>100</v>
      </c>
      <c r="T33" s="1574" t="s">
        <v>8</v>
      </c>
      <c r="U33" s="1575">
        <f t="shared" si="13"/>
        <v>100</v>
      </c>
      <c r="V33" s="1574" t="s">
        <v>8</v>
      </c>
      <c r="W33" s="1575">
        <f t="shared" si="14"/>
        <v>100</v>
      </c>
      <c r="X33" s="1568"/>
      <c r="Y33" s="340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ht="15">
      <c r="A35" s="607" t="s">
        <v>735</v>
      </c>
      <c r="B35" s="887"/>
      <c r="C35" s="2626" t="s">
        <v>1</v>
      </c>
      <c r="D35" s="2627"/>
      <c r="E35" s="2628"/>
      <c r="F35" s="2629"/>
      <c r="G35" s="2630"/>
      <c r="H35" s="2631"/>
      <c r="I35" s="2628"/>
      <c r="J35" s="2631"/>
      <c r="K35" s="1612"/>
      <c r="L35" s="2145"/>
      <c r="M35" s="2146"/>
      <c r="N35" s="2135"/>
      <c r="O35" s="2146"/>
      <c r="P35" s="3367" t="str">
        <f>A35</f>
        <v>成交单价（元/平方米）</v>
      </c>
      <c r="Q35" s="3367"/>
      <c r="R35" s="3474">
        <f>E35</f>
        <v>0</v>
      </c>
      <c r="S35" s="3474"/>
      <c r="T35" s="3474">
        <f>G35</f>
        <v>0</v>
      </c>
      <c r="U35" s="3474"/>
      <c r="V35" s="3474">
        <f>I35</f>
        <v>0</v>
      </c>
      <c r="W35" s="3474"/>
      <c r="X35" s="1560"/>
      <c r="Y35" s="1582"/>
      <c r="Z35" s="1560"/>
      <c r="AA35" s="1560"/>
      <c r="AB35" s="1560"/>
      <c r="AC35" s="1560"/>
    </row>
    <row r="36" spans="1:29" ht="15.75" thickBot="1">
      <c r="A36" s="615" t="s">
        <v>2759</v>
      </c>
      <c r="B36" s="888"/>
      <c r="C36" s="2632" t="e">
        <f>R37</f>
        <v>#DIV/0!</v>
      </c>
      <c r="D36" s="2633"/>
      <c r="E36" s="2634" t="e">
        <f>R36</f>
        <v>#DIV/0!</v>
      </c>
      <c r="F36" s="2634"/>
      <c r="G36" s="2632" t="e">
        <f>T36</f>
        <v>#DIV/0!</v>
      </c>
      <c r="H36" s="2633"/>
      <c r="I36" s="2634" t="e">
        <f>V36</f>
        <v>#DIV/0!</v>
      </c>
      <c r="J36" s="2633"/>
      <c r="K36" s="1613"/>
      <c r="L36" s="2145"/>
      <c r="M36" s="2146"/>
      <c r="N36" s="2135"/>
      <c r="O36" s="2146"/>
      <c r="P36" s="3367" t="str">
        <f>A36</f>
        <v>比较价格（元/平方米）</v>
      </c>
      <c r="Q36" s="3367"/>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2933</v>
      </c>
      <c r="B37" s="622"/>
      <c r="C37" s="2635" t="e">
        <f>R37</f>
        <v>#DIV/0!</v>
      </c>
      <c r="D37" s="2635"/>
      <c r="E37" s="2635"/>
      <c r="F37" s="2635"/>
      <c r="G37" s="2635"/>
      <c r="H37" s="2635"/>
      <c r="I37" s="2635"/>
      <c r="J37" s="2635"/>
      <c r="K37" s="1614"/>
      <c r="L37" s="2145"/>
      <c r="M37" s="2146"/>
      <c r="N37" s="2146"/>
      <c r="O37" s="2146"/>
      <c r="P37" s="3364" t="str">
        <f>A37</f>
        <v>估价对象XX用房的比较价格（楼面单价，元/平方米）</v>
      </c>
      <c r="Q37" s="3365"/>
      <c r="R37" s="3473" t="e">
        <f>IF(F1="售价",ROUND(AVERAGE(R36:V36),0),ROUND(AVERAGE(R36:V36),1))</f>
        <v>#DIV/0!</v>
      </c>
      <c r="S37" s="3473"/>
      <c r="T37" s="3473"/>
      <c r="U37" s="3473"/>
      <c r="V37" s="3473"/>
      <c r="W37" s="347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573</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528</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3" t="s">
        <v>2305</v>
      </c>
      <c r="D1" s="3484"/>
      <c r="E1" s="3484"/>
      <c r="F1" s="3484"/>
      <c r="G1" s="3484"/>
      <c r="H1" s="3484"/>
      <c r="I1" s="3484"/>
      <c r="J1" s="3484"/>
      <c r="K1" s="3484"/>
      <c r="L1" s="3484"/>
      <c r="M1" s="3484"/>
      <c r="N1" s="3484"/>
      <c r="O1" s="3484"/>
      <c r="P1" s="3484"/>
      <c r="Q1" s="3484"/>
      <c r="R1" s="3484"/>
      <c r="S1" s="348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93.75">
      <c r="A7" s="2872" t="s">
        <v>2747</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4"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43426</v>
      </c>
      <c r="H1" s="2937">
        <f>IF(C1&gt;C13,0,MATCH(C1,C$13:C$100,-1))+IF(SUMIF(C13:C100,C1,D13:D100)=0,13,12)</f>
        <v>13</v>
      </c>
      <c r="I1" s="2937">
        <f>MATCH(C2,H3:H7,1)+IF(SUMIF(H3:H7,C2,I3:I7)=0,2,1)</f>
        <v>6</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4</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A14" sqref="A14"/>
    </sheetView>
  </sheetViews>
  <sheetFormatPr defaultRowHeight="13.5"/>
  <cols>
    <col min="1" max="1" width="22.75" style="2938" customWidth="1"/>
    <col min="2" max="2" width="6.25" style="2938" customWidth="1"/>
    <col min="3" max="3" width="11.75" style="2938" customWidth="1"/>
    <col min="4" max="4" width="7.875" style="2938" customWidth="1"/>
    <col min="5" max="6" width="13.875" style="2938" customWidth="1"/>
    <col min="7" max="7" width="34.625" style="2938" customWidth="1"/>
    <col min="8" max="8" width="9" style="2938" customWidth="1"/>
    <col min="9" max="9" width="32.75" style="2938" customWidth="1"/>
    <col min="10" max="10" width="10.625" style="2938" customWidth="1"/>
    <col min="11" max="11" width="10.625" style="3179" customWidth="1"/>
    <col min="12" max="12" width="14.375" style="2938" customWidth="1"/>
    <col min="13" max="13" width="6.25" style="2938" customWidth="1"/>
    <col min="14" max="14" width="7.875" style="2938" customWidth="1"/>
    <col min="15" max="256" width="9" style="2938"/>
    <col min="257" max="257" width="22.75" style="2938" customWidth="1"/>
    <col min="258" max="258" width="6.25" style="2938" customWidth="1"/>
    <col min="259" max="259" width="11.75" style="2938" customWidth="1"/>
    <col min="260" max="260" width="7.875" style="2938" customWidth="1"/>
    <col min="261" max="262" width="13.875" style="2938" customWidth="1"/>
    <col min="263" max="263" width="24.875" style="2938" customWidth="1"/>
    <col min="264" max="264" width="9" style="2938" customWidth="1"/>
    <col min="265" max="265" width="32.75" style="2938" customWidth="1"/>
    <col min="266" max="267" width="10.625" style="2938" customWidth="1"/>
    <col min="268" max="268" width="14.375" style="2938" customWidth="1"/>
    <col min="269" max="269" width="6.25" style="2938" customWidth="1"/>
    <col min="270" max="270" width="7.875" style="2938" customWidth="1"/>
    <col min="271" max="512" width="9" style="2938"/>
    <col min="513" max="513" width="22.75" style="2938" customWidth="1"/>
    <col min="514" max="514" width="6.25" style="2938" customWidth="1"/>
    <col min="515" max="515" width="11.75" style="2938" customWidth="1"/>
    <col min="516" max="516" width="7.875" style="2938" customWidth="1"/>
    <col min="517" max="518" width="13.875" style="2938" customWidth="1"/>
    <col min="519" max="519" width="24.875" style="2938" customWidth="1"/>
    <col min="520" max="520" width="9" style="2938" customWidth="1"/>
    <col min="521" max="521" width="32.75" style="2938" customWidth="1"/>
    <col min="522" max="523" width="10.625" style="2938" customWidth="1"/>
    <col min="524" max="524" width="14.375" style="2938" customWidth="1"/>
    <col min="525" max="525" width="6.25" style="2938" customWidth="1"/>
    <col min="526" max="526" width="7.875" style="2938" customWidth="1"/>
    <col min="527" max="768" width="9" style="2938"/>
    <col min="769" max="769" width="22.75" style="2938" customWidth="1"/>
    <col min="770" max="770" width="6.25" style="2938" customWidth="1"/>
    <col min="771" max="771" width="11.75" style="2938" customWidth="1"/>
    <col min="772" max="772" width="7.875" style="2938" customWidth="1"/>
    <col min="773" max="774" width="13.875" style="2938" customWidth="1"/>
    <col min="775" max="775" width="24.875" style="2938" customWidth="1"/>
    <col min="776" max="776" width="9" style="2938" customWidth="1"/>
    <col min="777" max="777" width="32.75" style="2938" customWidth="1"/>
    <col min="778" max="779" width="10.625" style="2938" customWidth="1"/>
    <col min="780" max="780" width="14.375" style="2938" customWidth="1"/>
    <col min="781" max="781" width="6.25" style="2938" customWidth="1"/>
    <col min="782" max="782" width="7.875" style="2938" customWidth="1"/>
    <col min="783" max="1024" width="9" style="2938"/>
    <col min="1025" max="1025" width="22.75" style="2938" customWidth="1"/>
    <col min="1026" max="1026" width="6.25" style="2938" customWidth="1"/>
    <col min="1027" max="1027" width="11.75" style="2938" customWidth="1"/>
    <col min="1028" max="1028" width="7.875" style="2938" customWidth="1"/>
    <col min="1029" max="1030" width="13.875" style="2938" customWidth="1"/>
    <col min="1031" max="1031" width="24.875" style="2938" customWidth="1"/>
    <col min="1032" max="1032" width="9" style="2938" customWidth="1"/>
    <col min="1033" max="1033" width="32.75" style="2938" customWidth="1"/>
    <col min="1034" max="1035" width="10.625" style="2938" customWidth="1"/>
    <col min="1036" max="1036" width="14.375" style="2938" customWidth="1"/>
    <col min="1037" max="1037" width="6.25" style="2938" customWidth="1"/>
    <col min="1038" max="1038" width="7.875" style="2938" customWidth="1"/>
    <col min="1039" max="1280" width="9" style="2938"/>
    <col min="1281" max="1281" width="22.75" style="2938" customWidth="1"/>
    <col min="1282" max="1282" width="6.25" style="2938" customWidth="1"/>
    <col min="1283" max="1283" width="11.75" style="2938" customWidth="1"/>
    <col min="1284" max="1284" width="7.875" style="2938" customWidth="1"/>
    <col min="1285" max="1286" width="13.875" style="2938" customWidth="1"/>
    <col min="1287" max="1287" width="24.875" style="2938" customWidth="1"/>
    <col min="1288" max="1288" width="9" style="2938" customWidth="1"/>
    <col min="1289" max="1289" width="32.75" style="2938" customWidth="1"/>
    <col min="1290" max="1291" width="10.625" style="2938" customWidth="1"/>
    <col min="1292" max="1292" width="14.375" style="2938" customWidth="1"/>
    <col min="1293" max="1293" width="6.25" style="2938" customWidth="1"/>
    <col min="1294" max="1294" width="7.875" style="2938" customWidth="1"/>
    <col min="1295" max="1536" width="9" style="2938"/>
    <col min="1537" max="1537" width="22.75" style="2938" customWidth="1"/>
    <col min="1538" max="1538" width="6.25" style="2938" customWidth="1"/>
    <col min="1539" max="1539" width="11.75" style="2938" customWidth="1"/>
    <col min="1540" max="1540" width="7.875" style="2938" customWidth="1"/>
    <col min="1541" max="1542" width="13.875" style="2938" customWidth="1"/>
    <col min="1543" max="1543" width="24.875" style="2938" customWidth="1"/>
    <col min="1544" max="1544" width="9" style="2938" customWidth="1"/>
    <col min="1545" max="1545" width="32.75" style="2938" customWidth="1"/>
    <col min="1546" max="1547" width="10.625" style="2938" customWidth="1"/>
    <col min="1548" max="1548" width="14.375" style="2938" customWidth="1"/>
    <col min="1549" max="1549" width="6.25" style="2938" customWidth="1"/>
    <col min="1550" max="1550" width="7.875" style="2938" customWidth="1"/>
    <col min="1551" max="1792" width="9" style="2938"/>
    <col min="1793" max="1793" width="22.75" style="2938" customWidth="1"/>
    <col min="1794" max="1794" width="6.25" style="2938" customWidth="1"/>
    <col min="1795" max="1795" width="11.75" style="2938" customWidth="1"/>
    <col min="1796" max="1796" width="7.875" style="2938" customWidth="1"/>
    <col min="1797" max="1798" width="13.875" style="2938" customWidth="1"/>
    <col min="1799" max="1799" width="24.875" style="2938" customWidth="1"/>
    <col min="1800" max="1800" width="9" style="2938" customWidth="1"/>
    <col min="1801" max="1801" width="32.75" style="2938" customWidth="1"/>
    <col min="1802" max="1803" width="10.625" style="2938" customWidth="1"/>
    <col min="1804" max="1804" width="14.375" style="2938" customWidth="1"/>
    <col min="1805" max="1805" width="6.25" style="2938" customWidth="1"/>
    <col min="1806" max="1806" width="7.875" style="2938" customWidth="1"/>
    <col min="1807" max="2048" width="9" style="2938"/>
    <col min="2049" max="2049" width="22.75" style="2938" customWidth="1"/>
    <col min="2050" max="2050" width="6.25" style="2938" customWidth="1"/>
    <col min="2051" max="2051" width="11.75" style="2938" customWidth="1"/>
    <col min="2052" max="2052" width="7.875" style="2938" customWidth="1"/>
    <col min="2053" max="2054" width="13.875" style="2938" customWidth="1"/>
    <col min="2055" max="2055" width="24.875" style="2938" customWidth="1"/>
    <col min="2056" max="2056" width="9" style="2938" customWidth="1"/>
    <col min="2057" max="2057" width="32.75" style="2938" customWidth="1"/>
    <col min="2058" max="2059" width="10.625" style="2938" customWidth="1"/>
    <col min="2060" max="2060" width="14.375" style="2938" customWidth="1"/>
    <col min="2061" max="2061" width="6.25" style="2938" customWidth="1"/>
    <col min="2062" max="2062" width="7.875" style="2938" customWidth="1"/>
    <col min="2063" max="2304" width="9" style="2938"/>
    <col min="2305" max="2305" width="22.75" style="2938" customWidth="1"/>
    <col min="2306" max="2306" width="6.25" style="2938" customWidth="1"/>
    <col min="2307" max="2307" width="11.75" style="2938" customWidth="1"/>
    <col min="2308" max="2308" width="7.875" style="2938" customWidth="1"/>
    <col min="2309" max="2310" width="13.875" style="2938" customWidth="1"/>
    <col min="2311" max="2311" width="24.875" style="2938" customWidth="1"/>
    <col min="2312" max="2312" width="9" style="2938" customWidth="1"/>
    <col min="2313" max="2313" width="32.75" style="2938" customWidth="1"/>
    <col min="2314" max="2315" width="10.625" style="2938" customWidth="1"/>
    <col min="2316" max="2316" width="14.375" style="2938" customWidth="1"/>
    <col min="2317" max="2317" width="6.25" style="2938" customWidth="1"/>
    <col min="2318" max="2318" width="7.875" style="2938" customWidth="1"/>
    <col min="2319" max="2560" width="9" style="2938"/>
    <col min="2561" max="2561" width="22.75" style="2938" customWidth="1"/>
    <col min="2562" max="2562" width="6.25" style="2938" customWidth="1"/>
    <col min="2563" max="2563" width="11.75" style="2938" customWidth="1"/>
    <col min="2564" max="2564" width="7.875" style="2938" customWidth="1"/>
    <col min="2565" max="2566" width="13.875" style="2938" customWidth="1"/>
    <col min="2567" max="2567" width="24.875" style="2938" customWidth="1"/>
    <col min="2568" max="2568" width="9" style="2938" customWidth="1"/>
    <col min="2569" max="2569" width="32.75" style="2938" customWidth="1"/>
    <col min="2570" max="2571" width="10.625" style="2938" customWidth="1"/>
    <col min="2572" max="2572" width="14.375" style="2938" customWidth="1"/>
    <col min="2573" max="2573" width="6.25" style="2938" customWidth="1"/>
    <col min="2574" max="2574" width="7.875" style="2938" customWidth="1"/>
    <col min="2575" max="2816" width="9" style="2938"/>
    <col min="2817" max="2817" width="22.75" style="2938" customWidth="1"/>
    <col min="2818" max="2818" width="6.25" style="2938" customWidth="1"/>
    <col min="2819" max="2819" width="11.75" style="2938" customWidth="1"/>
    <col min="2820" max="2820" width="7.875" style="2938" customWidth="1"/>
    <col min="2821" max="2822" width="13.875" style="2938" customWidth="1"/>
    <col min="2823" max="2823" width="24.875" style="2938" customWidth="1"/>
    <col min="2824" max="2824" width="9" style="2938" customWidth="1"/>
    <col min="2825" max="2825" width="32.75" style="2938" customWidth="1"/>
    <col min="2826" max="2827" width="10.625" style="2938" customWidth="1"/>
    <col min="2828" max="2828" width="14.375" style="2938" customWidth="1"/>
    <col min="2829" max="2829" width="6.25" style="2938" customWidth="1"/>
    <col min="2830" max="2830" width="7.875" style="2938" customWidth="1"/>
    <col min="2831" max="3072" width="9" style="2938"/>
    <col min="3073" max="3073" width="22.75" style="2938" customWidth="1"/>
    <col min="3074" max="3074" width="6.25" style="2938" customWidth="1"/>
    <col min="3075" max="3075" width="11.75" style="2938" customWidth="1"/>
    <col min="3076" max="3076" width="7.875" style="2938" customWidth="1"/>
    <col min="3077" max="3078" width="13.875" style="2938" customWidth="1"/>
    <col min="3079" max="3079" width="24.875" style="2938" customWidth="1"/>
    <col min="3080" max="3080" width="9" style="2938" customWidth="1"/>
    <col min="3081" max="3081" width="32.75" style="2938" customWidth="1"/>
    <col min="3082" max="3083" width="10.625" style="2938" customWidth="1"/>
    <col min="3084" max="3084" width="14.375" style="2938" customWidth="1"/>
    <col min="3085" max="3085" width="6.25" style="2938" customWidth="1"/>
    <col min="3086" max="3086" width="7.875" style="2938" customWidth="1"/>
    <col min="3087" max="3328" width="9" style="2938"/>
    <col min="3329" max="3329" width="22.75" style="2938" customWidth="1"/>
    <col min="3330" max="3330" width="6.25" style="2938" customWidth="1"/>
    <col min="3331" max="3331" width="11.75" style="2938" customWidth="1"/>
    <col min="3332" max="3332" width="7.875" style="2938" customWidth="1"/>
    <col min="3333" max="3334" width="13.875" style="2938" customWidth="1"/>
    <col min="3335" max="3335" width="24.875" style="2938" customWidth="1"/>
    <col min="3336" max="3336" width="9" style="2938" customWidth="1"/>
    <col min="3337" max="3337" width="32.75" style="2938" customWidth="1"/>
    <col min="3338" max="3339" width="10.625" style="2938" customWidth="1"/>
    <col min="3340" max="3340" width="14.375" style="2938" customWidth="1"/>
    <col min="3341" max="3341" width="6.25" style="2938" customWidth="1"/>
    <col min="3342" max="3342" width="7.875" style="2938" customWidth="1"/>
    <col min="3343" max="3584" width="9" style="2938"/>
    <col min="3585" max="3585" width="22.75" style="2938" customWidth="1"/>
    <col min="3586" max="3586" width="6.25" style="2938" customWidth="1"/>
    <col min="3587" max="3587" width="11.75" style="2938" customWidth="1"/>
    <col min="3588" max="3588" width="7.875" style="2938" customWidth="1"/>
    <col min="3589" max="3590" width="13.875" style="2938" customWidth="1"/>
    <col min="3591" max="3591" width="24.875" style="2938" customWidth="1"/>
    <col min="3592" max="3592" width="9" style="2938" customWidth="1"/>
    <col min="3593" max="3593" width="32.75" style="2938" customWidth="1"/>
    <col min="3594" max="3595" width="10.625" style="2938" customWidth="1"/>
    <col min="3596" max="3596" width="14.375" style="2938" customWidth="1"/>
    <col min="3597" max="3597" width="6.25" style="2938" customWidth="1"/>
    <col min="3598" max="3598" width="7.875" style="2938" customWidth="1"/>
    <col min="3599" max="3840" width="9" style="2938"/>
    <col min="3841" max="3841" width="22.75" style="2938" customWidth="1"/>
    <col min="3842" max="3842" width="6.25" style="2938" customWidth="1"/>
    <col min="3843" max="3843" width="11.75" style="2938" customWidth="1"/>
    <col min="3844" max="3844" width="7.875" style="2938" customWidth="1"/>
    <col min="3845" max="3846" width="13.875" style="2938" customWidth="1"/>
    <col min="3847" max="3847" width="24.875" style="2938" customWidth="1"/>
    <col min="3848" max="3848" width="9" style="2938" customWidth="1"/>
    <col min="3849" max="3849" width="32.75" style="2938" customWidth="1"/>
    <col min="3850" max="3851" width="10.625" style="2938" customWidth="1"/>
    <col min="3852" max="3852" width="14.375" style="2938" customWidth="1"/>
    <col min="3853" max="3853" width="6.25" style="2938" customWidth="1"/>
    <col min="3854" max="3854" width="7.875" style="2938" customWidth="1"/>
    <col min="3855" max="4096" width="9" style="2938"/>
    <col min="4097" max="4097" width="22.75" style="2938" customWidth="1"/>
    <col min="4098" max="4098" width="6.25" style="2938" customWidth="1"/>
    <col min="4099" max="4099" width="11.75" style="2938" customWidth="1"/>
    <col min="4100" max="4100" width="7.875" style="2938" customWidth="1"/>
    <col min="4101" max="4102" width="13.875" style="2938" customWidth="1"/>
    <col min="4103" max="4103" width="24.875" style="2938" customWidth="1"/>
    <col min="4104" max="4104" width="9" style="2938" customWidth="1"/>
    <col min="4105" max="4105" width="32.75" style="2938" customWidth="1"/>
    <col min="4106" max="4107" width="10.625" style="2938" customWidth="1"/>
    <col min="4108" max="4108" width="14.375" style="2938" customWidth="1"/>
    <col min="4109" max="4109" width="6.25" style="2938" customWidth="1"/>
    <col min="4110" max="4110" width="7.875" style="2938" customWidth="1"/>
    <col min="4111" max="4352" width="9" style="2938"/>
    <col min="4353" max="4353" width="22.75" style="2938" customWidth="1"/>
    <col min="4354" max="4354" width="6.25" style="2938" customWidth="1"/>
    <col min="4355" max="4355" width="11.75" style="2938" customWidth="1"/>
    <col min="4356" max="4356" width="7.875" style="2938" customWidth="1"/>
    <col min="4357" max="4358" width="13.875" style="2938" customWidth="1"/>
    <col min="4359" max="4359" width="24.875" style="2938" customWidth="1"/>
    <col min="4360" max="4360" width="9" style="2938" customWidth="1"/>
    <col min="4361" max="4361" width="32.75" style="2938" customWidth="1"/>
    <col min="4362" max="4363" width="10.625" style="2938" customWidth="1"/>
    <col min="4364" max="4364" width="14.375" style="2938" customWidth="1"/>
    <col min="4365" max="4365" width="6.25" style="2938" customWidth="1"/>
    <col min="4366" max="4366" width="7.875" style="2938" customWidth="1"/>
    <col min="4367" max="4608" width="9" style="2938"/>
    <col min="4609" max="4609" width="22.75" style="2938" customWidth="1"/>
    <col min="4610" max="4610" width="6.25" style="2938" customWidth="1"/>
    <col min="4611" max="4611" width="11.75" style="2938" customWidth="1"/>
    <col min="4612" max="4612" width="7.875" style="2938" customWidth="1"/>
    <col min="4613" max="4614" width="13.875" style="2938" customWidth="1"/>
    <col min="4615" max="4615" width="24.875" style="2938" customWidth="1"/>
    <col min="4616" max="4616" width="9" style="2938" customWidth="1"/>
    <col min="4617" max="4617" width="32.75" style="2938" customWidth="1"/>
    <col min="4618" max="4619" width="10.625" style="2938" customWidth="1"/>
    <col min="4620" max="4620" width="14.375" style="2938" customWidth="1"/>
    <col min="4621" max="4621" width="6.25" style="2938" customWidth="1"/>
    <col min="4622" max="4622" width="7.875" style="2938" customWidth="1"/>
    <col min="4623" max="4864" width="9" style="2938"/>
    <col min="4865" max="4865" width="22.75" style="2938" customWidth="1"/>
    <col min="4866" max="4866" width="6.25" style="2938" customWidth="1"/>
    <col min="4867" max="4867" width="11.75" style="2938" customWidth="1"/>
    <col min="4868" max="4868" width="7.875" style="2938" customWidth="1"/>
    <col min="4869" max="4870" width="13.875" style="2938" customWidth="1"/>
    <col min="4871" max="4871" width="24.875" style="2938" customWidth="1"/>
    <col min="4872" max="4872" width="9" style="2938" customWidth="1"/>
    <col min="4873" max="4873" width="32.75" style="2938" customWidth="1"/>
    <col min="4874" max="4875" width="10.625" style="2938" customWidth="1"/>
    <col min="4876" max="4876" width="14.375" style="2938" customWidth="1"/>
    <col min="4877" max="4877" width="6.25" style="2938" customWidth="1"/>
    <col min="4878" max="4878" width="7.875" style="2938" customWidth="1"/>
    <col min="4879" max="5120" width="9" style="2938"/>
    <col min="5121" max="5121" width="22.75" style="2938" customWidth="1"/>
    <col min="5122" max="5122" width="6.25" style="2938" customWidth="1"/>
    <col min="5123" max="5123" width="11.75" style="2938" customWidth="1"/>
    <col min="5124" max="5124" width="7.875" style="2938" customWidth="1"/>
    <col min="5125" max="5126" width="13.875" style="2938" customWidth="1"/>
    <col min="5127" max="5127" width="24.875" style="2938" customWidth="1"/>
    <col min="5128" max="5128" width="9" style="2938" customWidth="1"/>
    <col min="5129" max="5129" width="32.75" style="2938" customWidth="1"/>
    <col min="5130" max="5131" width="10.625" style="2938" customWidth="1"/>
    <col min="5132" max="5132" width="14.375" style="2938" customWidth="1"/>
    <col min="5133" max="5133" width="6.25" style="2938" customWidth="1"/>
    <col min="5134" max="5134" width="7.875" style="2938" customWidth="1"/>
    <col min="5135" max="5376" width="9" style="2938"/>
    <col min="5377" max="5377" width="22.75" style="2938" customWidth="1"/>
    <col min="5378" max="5378" width="6.25" style="2938" customWidth="1"/>
    <col min="5379" max="5379" width="11.75" style="2938" customWidth="1"/>
    <col min="5380" max="5380" width="7.875" style="2938" customWidth="1"/>
    <col min="5381" max="5382" width="13.875" style="2938" customWidth="1"/>
    <col min="5383" max="5383" width="24.875" style="2938" customWidth="1"/>
    <col min="5384" max="5384" width="9" style="2938" customWidth="1"/>
    <col min="5385" max="5385" width="32.75" style="2938" customWidth="1"/>
    <col min="5386" max="5387" width="10.625" style="2938" customWidth="1"/>
    <col min="5388" max="5388" width="14.375" style="2938" customWidth="1"/>
    <col min="5389" max="5389" width="6.25" style="2938" customWidth="1"/>
    <col min="5390" max="5390" width="7.875" style="2938" customWidth="1"/>
    <col min="5391" max="5632" width="9" style="2938"/>
    <col min="5633" max="5633" width="22.75" style="2938" customWidth="1"/>
    <col min="5634" max="5634" width="6.25" style="2938" customWidth="1"/>
    <col min="5635" max="5635" width="11.75" style="2938" customWidth="1"/>
    <col min="5636" max="5636" width="7.875" style="2938" customWidth="1"/>
    <col min="5637" max="5638" width="13.875" style="2938" customWidth="1"/>
    <col min="5639" max="5639" width="24.875" style="2938" customWidth="1"/>
    <col min="5640" max="5640" width="9" style="2938" customWidth="1"/>
    <col min="5641" max="5641" width="32.75" style="2938" customWidth="1"/>
    <col min="5642" max="5643" width="10.625" style="2938" customWidth="1"/>
    <col min="5644" max="5644" width="14.375" style="2938" customWidth="1"/>
    <col min="5645" max="5645" width="6.25" style="2938" customWidth="1"/>
    <col min="5646" max="5646" width="7.875" style="2938" customWidth="1"/>
    <col min="5647" max="5888" width="9" style="2938"/>
    <col min="5889" max="5889" width="22.75" style="2938" customWidth="1"/>
    <col min="5890" max="5890" width="6.25" style="2938" customWidth="1"/>
    <col min="5891" max="5891" width="11.75" style="2938" customWidth="1"/>
    <col min="5892" max="5892" width="7.875" style="2938" customWidth="1"/>
    <col min="5893" max="5894" width="13.875" style="2938" customWidth="1"/>
    <col min="5895" max="5895" width="24.875" style="2938" customWidth="1"/>
    <col min="5896" max="5896" width="9" style="2938" customWidth="1"/>
    <col min="5897" max="5897" width="32.75" style="2938" customWidth="1"/>
    <col min="5898" max="5899" width="10.625" style="2938" customWidth="1"/>
    <col min="5900" max="5900" width="14.375" style="2938" customWidth="1"/>
    <col min="5901" max="5901" width="6.25" style="2938" customWidth="1"/>
    <col min="5902" max="5902" width="7.875" style="2938" customWidth="1"/>
    <col min="5903" max="6144" width="9" style="2938"/>
    <col min="6145" max="6145" width="22.75" style="2938" customWidth="1"/>
    <col min="6146" max="6146" width="6.25" style="2938" customWidth="1"/>
    <col min="6147" max="6147" width="11.75" style="2938" customWidth="1"/>
    <col min="6148" max="6148" width="7.875" style="2938" customWidth="1"/>
    <col min="6149" max="6150" width="13.875" style="2938" customWidth="1"/>
    <col min="6151" max="6151" width="24.875" style="2938" customWidth="1"/>
    <col min="6152" max="6152" width="9" style="2938" customWidth="1"/>
    <col min="6153" max="6153" width="32.75" style="2938" customWidth="1"/>
    <col min="6154" max="6155" width="10.625" style="2938" customWidth="1"/>
    <col min="6156" max="6156" width="14.375" style="2938" customWidth="1"/>
    <col min="6157" max="6157" width="6.25" style="2938" customWidth="1"/>
    <col min="6158" max="6158" width="7.875" style="2938" customWidth="1"/>
    <col min="6159" max="6400" width="9" style="2938"/>
    <col min="6401" max="6401" width="22.75" style="2938" customWidth="1"/>
    <col min="6402" max="6402" width="6.25" style="2938" customWidth="1"/>
    <col min="6403" max="6403" width="11.75" style="2938" customWidth="1"/>
    <col min="6404" max="6404" width="7.875" style="2938" customWidth="1"/>
    <col min="6405" max="6406" width="13.875" style="2938" customWidth="1"/>
    <col min="6407" max="6407" width="24.875" style="2938" customWidth="1"/>
    <col min="6408" max="6408" width="9" style="2938" customWidth="1"/>
    <col min="6409" max="6409" width="32.75" style="2938" customWidth="1"/>
    <col min="6410" max="6411" width="10.625" style="2938" customWidth="1"/>
    <col min="6412" max="6412" width="14.375" style="2938" customWidth="1"/>
    <col min="6413" max="6413" width="6.25" style="2938" customWidth="1"/>
    <col min="6414" max="6414" width="7.875" style="2938" customWidth="1"/>
    <col min="6415" max="6656" width="9" style="2938"/>
    <col min="6657" max="6657" width="22.75" style="2938" customWidth="1"/>
    <col min="6658" max="6658" width="6.25" style="2938" customWidth="1"/>
    <col min="6659" max="6659" width="11.75" style="2938" customWidth="1"/>
    <col min="6660" max="6660" width="7.875" style="2938" customWidth="1"/>
    <col min="6661" max="6662" width="13.875" style="2938" customWidth="1"/>
    <col min="6663" max="6663" width="24.875" style="2938" customWidth="1"/>
    <col min="6664" max="6664" width="9" style="2938" customWidth="1"/>
    <col min="6665" max="6665" width="32.75" style="2938" customWidth="1"/>
    <col min="6666" max="6667" width="10.625" style="2938" customWidth="1"/>
    <col min="6668" max="6668" width="14.375" style="2938" customWidth="1"/>
    <col min="6669" max="6669" width="6.25" style="2938" customWidth="1"/>
    <col min="6670" max="6670" width="7.875" style="2938" customWidth="1"/>
    <col min="6671" max="6912" width="9" style="2938"/>
    <col min="6913" max="6913" width="22.75" style="2938" customWidth="1"/>
    <col min="6914" max="6914" width="6.25" style="2938" customWidth="1"/>
    <col min="6915" max="6915" width="11.75" style="2938" customWidth="1"/>
    <col min="6916" max="6916" width="7.875" style="2938" customWidth="1"/>
    <col min="6917" max="6918" width="13.875" style="2938" customWidth="1"/>
    <col min="6919" max="6919" width="24.875" style="2938" customWidth="1"/>
    <col min="6920" max="6920" width="9" style="2938" customWidth="1"/>
    <col min="6921" max="6921" width="32.75" style="2938" customWidth="1"/>
    <col min="6922" max="6923" width="10.625" style="2938" customWidth="1"/>
    <col min="6924" max="6924" width="14.375" style="2938" customWidth="1"/>
    <col min="6925" max="6925" width="6.25" style="2938" customWidth="1"/>
    <col min="6926" max="6926" width="7.875" style="2938" customWidth="1"/>
    <col min="6927" max="7168" width="9" style="2938"/>
    <col min="7169" max="7169" width="22.75" style="2938" customWidth="1"/>
    <col min="7170" max="7170" width="6.25" style="2938" customWidth="1"/>
    <col min="7171" max="7171" width="11.75" style="2938" customWidth="1"/>
    <col min="7172" max="7172" width="7.875" style="2938" customWidth="1"/>
    <col min="7173" max="7174" width="13.875" style="2938" customWidth="1"/>
    <col min="7175" max="7175" width="24.875" style="2938" customWidth="1"/>
    <col min="7176" max="7176" width="9" style="2938" customWidth="1"/>
    <col min="7177" max="7177" width="32.75" style="2938" customWidth="1"/>
    <col min="7178" max="7179" width="10.625" style="2938" customWidth="1"/>
    <col min="7180" max="7180" width="14.375" style="2938" customWidth="1"/>
    <col min="7181" max="7181" width="6.25" style="2938" customWidth="1"/>
    <col min="7182" max="7182" width="7.875" style="2938" customWidth="1"/>
    <col min="7183" max="7424" width="9" style="2938"/>
    <col min="7425" max="7425" width="22.75" style="2938" customWidth="1"/>
    <col min="7426" max="7426" width="6.25" style="2938" customWidth="1"/>
    <col min="7427" max="7427" width="11.75" style="2938" customWidth="1"/>
    <col min="7428" max="7428" width="7.875" style="2938" customWidth="1"/>
    <col min="7429" max="7430" width="13.875" style="2938" customWidth="1"/>
    <col min="7431" max="7431" width="24.875" style="2938" customWidth="1"/>
    <col min="7432" max="7432" width="9" style="2938" customWidth="1"/>
    <col min="7433" max="7433" width="32.75" style="2938" customWidth="1"/>
    <col min="7434" max="7435" width="10.625" style="2938" customWidth="1"/>
    <col min="7436" max="7436" width="14.375" style="2938" customWidth="1"/>
    <col min="7437" max="7437" width="6.25" style="2938" customWidth="1"/>
    <col min="7438" max="7438" width="7.875" style="2938" customWidth="1"/>
    <col min="7439" max="7680" width="9" style="2938"/>
    <col min="7681" max="7681" width="22.75" style="2938" customWidth="1"/>
    <col min="7682" max="7682" width="6.25" style="2938" customWidth="1"/>
    <col min="7683" max="7683" width="11.75" style="2938" customWidth="1"/>
    <col min="7684" max="7684" width="7.875" style="2938" customWidth="1"/>
    <col min="7685" max="7686" width="13.875" style="2938" customWidth="1"/>
    <col min="7687" max="7687" width="24.875" style="2938" customWidth="1"/>
    <col min="7688" max="7688" width="9" style="2938" customWidth="1"/>
    <col min="7689" max="7689" width="32.75" style="2938" customWidth="1"/>
    <col min="7690" max="7691" width="10.625" style="2938" customWidth="1"/>
    <col min="7692" max="7692" width="14.375" style="2938" customWidth="1"/>
    <col min="7693" max="7693" width="6.25" style="2938" customWidth="1"/>
    <col min="7694" max="7694" width="7.875" style="2938" customWidth="1"/>
    <col min="7695" max="7936" width="9" style="2938"/>
    <col min="7937" max="7937" width="22.75" style="2938" customWidth="1"/>
    <col min="7938" max="7938" width="6.25" style="2938" customWidth="1"/>
    <col min="7939" max="7939" width="11.75" style="2938" customWidth="1"/>
    <col min="7940" max="7940" width="7.875" style="2938" customWidth="1"/>
    <col min="7941" max="7942" width="13.875" style="2938" customWidth="1"/>
    <col min="7943" max="7943" width="24.875" style="2938" customWidth="1"/>
    <col min="7944" max="7944" width="9" style="2938" customWidth="1"/>
    <col min="7945" max="7945" width="32.75" style="2938" customWidth="1"/>
    <col min="7946" max="7947" width="10.625" style="2938" customWidth="1"/>
    <col min="7948" max="7948" width="14.375" style="2938" customWidth="1"/>
    <col min="7949" max="7949" width="6.25" style="2938" customWidth="1"/>
    <col min="7950" max="7950" width="7.875" style="2938" customWidth="1"/>
    <col min="7951" max="8192" width="9" style="2938"/>
    <col min="8193" max="8193" width="22.75" style="2938" customWidth="1"/>
    <col min="8194" max="8194" width="6.25" style="2938" customWidth="1"/>
    <col min="8195" max="8195" width="11.75" style="2938" customWidth="1"/>
    <col min="8196" max="8196" width="7.875" style="2938" customWidth="1"/>
    <col min="8197" max="8198" width="13.875" style="2938" customWidth="1"/>
    <col min="8199" max="8199" width="24.875" style="2938" customWidth="1"/>
    <col min="8200" max="8200" width="9" style="2938" customWidth="1"/>
    <col min="8201" max="8201" width="32.75" style="2938" customWidth="1"/>
    <col min="8202" max="8203" width="10.625" style="2938" customWidth="1"/>
    <col min="8204" max="8204" width="14.375" style="2938" customWidth="1"/>
    <col min="8205" max="8205" width="6.25" style="2938" customWidth="1"/>
    <col min="8206" max="8206" width="7.875" style="2938" customWidth="1"/>
    <col min="8207" max="8448" width="9" style="2938"/>
    <col min="8449" max="8449" width="22.75" style="2938" customWidth="1"/>
    <col min="8450" max="8450" width="6.25" style="2938" customWidth="1"/>
    <col min="8451" max="8451" width="11.75" style="2938" customWidth="1"/>
    <col min="8452" max="8452" width="7.875" style="2938" customWidth="1"/>
    <col min="8453" max="8454" width="13.875" style="2938" customWidth="1"/>
    <col min="8455" max="8455" width="24.875" style="2938" customWidth="1"/>
    <col min="8456" max="8456" width="9" style="2938" customWidth="1"/>
    <col min="8457" max="8457" width="32.75" style="2938" customWidth="1"/>
    <col min="8458" max="8459" width="10.625" style="2938" customWidth="1"/>
    <col min="8460" max="8460" width="14.375" style="2938" customWidth="1"/>
    <col min="8461" max="8461" width="6.25" style="2938" customWidth="1"/>
    <col min="8462" max="8462" width="7.875" style="2938" customWidth="1"/>
    <col min="8463" max="8704" width="9" style="2938"/>
    <col min="8705" max="8705" width="22.75" style="2938" customWidth="1"/>
    <col min="8706" max="8706" width="6.25" style="2938" customWidth="1"/>
    <col min="8707" max="8707" width="11.75" style="2938" customWidth="1"/>
    <col min="8708" max="8708" width="7.875" style="2938" customWidth="1"/>
    <col min="8709" max="8710" width="13.875" style="2938" customWidth="1"/>
    <col min="8711" max="8711" width="24.875" style="2938" customWidth="1"/>
    <col min="8712" max="8712" width="9" style="2938" customWidth="1"/>
    <col min="8713" max="8713" width="32.75" style="2938" customWidth="1"/>
    <col min="8714" max="8715" width="10.625" style="2938" customWidth="1"/>
    <col min="8716" max="8716" width="14.375" style="2938" customWidth="1"/>
    <col min="8717" max="8717" width="6.25" style="2938" customWidth="1"/>
    <col min="8718" max="8718" width="7.875" style="2938" customWidth="1"/>
    <col min="8719" max="8960" width="9" style="2938"/>
    <col min="8961" max="8961" width="22.75" style="2938" customWidth="1"/>
    <col min="8962" max="8962" width="6.25" style="2938" customWidth="1"/>
    <col min="8963" max="8963" width="11.75" style="2938" customWidth="1"/>
    <col min="8964" max="8964" width="7.875" style="2938" customWidth="1"/>
    <col min="8965" max="8966" width="13.875" style="2938" customWidth="1"/>
    <col min="8967" max="8967" width="24.875" style="2938" customWidth="1"/>
    <col min="8968" max="8968" width="9" style="2938" customWidth="1"/>
    <col min="8969" max="8969" width="32.75" style="2938" customWidth="1"/>
    <col min="8970" max="8971" width="10.625" style="2938" customWidth="1"/>
    <col min="8972" max="8972" width="14.375" style="2938" customWidth="1"/>
    <col min="8973" max="8973" width="6.25" style="2938" customWidth="1"/>
    <col min="8974" max="8974" width="7.875" style="2938" customWidth="1"/>
    <col min="8975" max="9216" width="9" style="2938"/>
    <col min="9217" max="9217" width="22.75" style="2938" customWidth="1"/>
    <col min="9218" max="9218" width="6.25" style="2938" customWidth="1"/>
    <col min="9219" max="9219" width="11.75" style="2938" customWidth="1"/>
    <col min="9220" max="9220" width="7.875" style="2938" customWidth="1"/>
    <col min="9221" max="9222" width="13.875" style="2938" customWidth="1"/>
    <col min="9223" max="9223" width="24.875" style="2938" customWidth="1"/>
    <col min="9224" max="9224" width="9" style="2938" customWidth="1"/>
    <col min="9225" max="9225" width="32.75" style="2938" customWidth="1"/>
    <col min="9226" max="9227" width="10.625" style="2938" customWidth="1"/>
    <col min="9228" max="9228" width="14.375" style="2938" customWidth="1"/>
    <col min="9229" max="9229" width="6.25" style="2938" customWidth="1"/>
    <col min="9230" max="9230" width="7.875" style="2938" customWidth="1"/>
    <col min="9231" max="9472" width="9" style="2938"/>
    <col min="9473" max="9473" width="22.75" style="2938" customWidth="1"/>
    <col min="9474" max="9474" width="6.25" style="2938" customWidth="1"/>
    <col min="9475" max="9475" width="11.75" style="2938" customWidth="1"/>
    <col min="9476" max="9476" width="7.875" style="2938" customWidth="1"/>
    <col min="9477" max="9478" width="13.875" style="2938" customWidth="1"/>
    <col min="9479" max="9479" width="24.875" style="2938" customWidth="1"/>
    <col min="9480" max="9480" width="9" style="2938" customWidth="1"/>
    <col min="9481" max="9481" width="32.75" style="2938" customWidth="1"/>
    <col min="9482" max="9483" width="10.625" style="2938" customWidth="1"/>
    <col min="9484" max="9484" width="14.375" style="2938" customWidth="1"/>
    <col min="9485" max="9485" width="6.25" style="2938" customWidth="1"/>
    <col min="9486" max="9486" width="7.875" style="2938" customWidth="1"/>
    <col min="9487" max="9728" width="9" style="2938"/>
    <col min="9729" max="9729" width="22.75" style="2938" customWidth="1"/>
    <col min="9730" max="9730" width="6.25" style="2938" customWidth="1"/>
    <col min="9731" max="9731" width="11.75" style="2938" customWidth="1"/>
    <col min="9732" max="9732" width="7.875" style="2938" customWidth="1"/>
    <col min="9733" max="9734" width="13.875" style="2938" customWidth="1"/>
    <col min="9735" max="9735" width="24.875" style="2938" customWidth="1"/>
    <col min="9736" max="9736" width="9" style="2938" customWidth="1"/>
    <col min="9737" max="9737" width="32.75" style="2938" customWidth="1"/>
    <col min="9738" max="9739" width="10.625" style="2938" customWidth="1"/>
    <col min="9740" max="9740" width="14.375" style="2938" customWidth="1"/>
    <col min="9741" max="9741" width="6.25" style="2938" customWidth="1"/>
    <col min="9742" max="9742" width="7.875" style="2938" customWidth="1"/>
    <col min="9743" max="9984" width="9" style="2938"/>
    <col min="9985" max="9985" width="22.75" style="2938" customWidth="1"/>
    <col min="9986" max="9986" width="6.25" style="2938" customWidth="1"/>
    <col min="9987" max="9987" width="11.75" style="2938" customWidth="1"/>
    <col min="9988" max="9988" width="7.875" style="2938" customWidth="1"/>
    <col min="9989" max="9990" width="13.875" style="2938" customWidth="1"/>
    <col min="9991" max="9991" width="24.875" style="2938" customWidth="1"/>
    <col min="9992" max="9992" width="9" style="2938" customWidth="1"/>
    <col min="9993" max="9993" width="32.75" style="2938" customWidth="1"/>
    <col min="9994" max="9995" width="10.625" style="2938" customWidth="1"/>
    <col min="9996" max="9996" width="14.375" style="2938" customWidth="1"/>
    <col min="9997" max="9997" width="6.25" style="2938" customWidth="1"/>
    <col min="9998" max="9998" width="7.875" style="2938" customWidth="1"/>
    <col min="9999" max="10240" width="9" style="2938"/>
    <col min="10241" max="10241" width="22.75" style="2938" customWidth="1"/>
    <col min="10242" max="10242" width="6.25" style="2938" customWidth="1"/>
    <col min="10243" max="10243" width="11.75" style="2938" customWidth="1"/>
    <col min="10244" max="10244" width="7.875" style="2938" customWidth="1"/>
    <col min="10245" max="10246" width="13.875" style="2938" customWidth="1"/>
    <col min="10247" max="10247" width="24.875" style="2938" customWidth="1"/>
    <col min="10248" max="10248" width="9" style="2938" customWidth="1"/>
    <col min="10249" max="10249" width="32.75" style="2938" customWidth="1"/>
    <col min="10250" max="10251" width="10.625" style="2938" customWidth="1"/>
    <col min="10252" max="10252" width="14.375" style="2938" customWidth="1"/>
    <col min="10253" max="10253" width="6.25" style="2938" customWidth="1"/>
    <col min="10254" max="10254" width="7.875" style="2938" customWidth="1"/>
    <col min="10255" max="10496" width="9" style="2938"/>
    <col min="10497" max="10497" width="22.75" style="2938" customWidth="1"/>
    <col min="10498" max="10498" width="6.25" style="2938" customWidth="1"/>
    <col min="10499" max="10499" width="11.75" style="2938" customWidth="1"/>
    <col min="10500" max="10500" width="7.875" style="2938" customWidth="1"/>
    <col min="10501" max="10502" width="13.875" style="2938" customWidth="1"/>
    <col min="10503" max="10503" width="24.875" style="2938" customWidth="1"/>
    <col min="10504" max="10504" width="9" style="2938" customWidth="1"/>
    <col min="10505" max="10505" width="32.75" style="2938" customWidth="1"/>
    <col min="10506" max="10507" width="10.625" style="2938" customWidth="1"/>
    <col min="10508" max="10508" width="14.375" style="2938" customWidth="1"/>
    <col min="10509" max="10509" width="6.25" style="2938" customWidth="1"/>
    <col min="10510" max="10510" width="7.875" style="2938" customWidth="1"/>
    <col min="10511" max="10752" width="9" style="2938"/>
    <col min="10753" max="10753" width="22.75" style="2938" customWidth="1"/>
    <col min="10754" max="10754" width="6.25" style="2938" customWidth="1"/>
    <col min="10755" max="10755" width="11.75" style="2938" customWidth="1"/>
    <col min="10756" max="10756" width="7.875" style="2938" customWidth="1"/>
    <col min="10757" max="10758" width="13.875" style="2938" customWidth="1"/>
    <col min="10759" max="10759" width="24.875" style="2938" customWidth="1"/>
    <col min="10760" max="10760" width="9" style="2938" customWidth="1"/>
    <col min="10761" max="10761" width="32.75" style="2938" customWidth="1"/>
    <col min="10762" max="10763" width="10.625" style="2938" customWidth="1"/>
    <col min="10764" max="10764" width="14.375" style="2938" customWidth="1"/>
    <col min="10765" max="10765" width="6.25" style="2938" customWidth="1"/>
    <col min="10766" max="10766" width="7.875" style="2938" customWidth="1"/>
    <col min="10767" max="11008" width="9" style="2938"/>
    <col min="11009" max="11009" width="22.75" style="2938" customWidth="1"/>
    <col min="11010" max="11010" width="6.25" style="2938" customWidth="1"/>
    <col min="11011" max="11011" width="11.75" style="2938" customWidth="1"/>
    <col min="11012" max="11012" width="7.875" style="2938" customWidth="1"/>
    <col min="11013" max="11014" width="13.875" style="2938" customWidth="1"/>
    <col min="11015" max="11015" width="24.875" style="2938" customWidth="1"/>
    <col min="11016" max="11016" width="9" style="2938" customWidth="1"/>
    <col min="11017" max="11017" width="32.75" style="2938" customWidth="1"/>
    <col min="11018" max="11019" width="10.625" style="2938" customWidth="1"/>
    <col min="11020" max="11020" width="14.375" style="2938" customWidth="1"/>
    <col min="11021" max="11021" width="6.25" style="2938" customWidth="1"/>
    <col min="11022" max="11022" width="7.875" style="2938" customWidth="1"/>
    <col min="11023" max="11264" width="9" style="2938"/>
    <col min="11265" max="11265" width="22.75" style="2938" customWidth="1"/>
    <col min="11266" max="11266" width="6.25" style="2938" customWidth="1"/>
    <col min="11267" max="11267" width="11.75" style="2938" customWidth="1"/>
    <col min="11268" max="11268" width="7.875" style="2938" customWidth="1"/>
    <col min="11269" max="11270" width="13.875" style="2938" customWidth="1"/>
    <col min="11271" max="11271" width="24.875" style="2938" customWidth="1"/>
    <col min="11272" max="11272" width="9" style="2938" customWidth="1"/>
    <col min="11273" max="11273" width="32.75" style="2938" customWidth="1"/>
    <col min="11274" max="11275" width="10.625" style="2938" customWidth="1"/>
    <col min="11276" max="11276" width="14.375" style="2938" customWidth="1"/>
    <col min="11277" max="11277" width="6.25" style="2938" customWidth="1"/>
    <col min="11278" max="11278" width="7.875" style="2938" customWidth="1"/>
    <col min="11279" max="11520" width="9" style="2938"/>
    <col min="11521" max="11521" width="22.75" style="2938" customWidth="1"/>
    <col min="11522" max="11522" width="6.25" style="2938" customWidth="1"/>
    <col min="11523" max="11523" width="11.75" style="2938" customWidth="1"/>
    <col min="11524" max="11524" width="7.875" style="2938" customWidth="1"/>
    <col min="11525" max="11526" width="13.875" style="2938" customWidth="1"/>
    <col min="11527" max="11527" width="24.875" style="2938" customWidth="1"/>
    <col min="11528" max="11528" width="9" style="2938" customWidth="1"/>
    <col min="11529" max="11529" width="32.75" style="2938" customWidth="1"/>
    <col min="11530" max="11531" width="10.625" style="2938" customWidth="1"/>
    <col min="11532" max="11532" width="14.375" style="2938" customWidth="1"/>
    <col min="11533" max="11533" width="6.25" style="2938" customWidth="1"/>
    <col min="11534" max="11534" width="7.875" style="2938" customWidth="1"/>
    <col min="11535" max="11776" width="9" style="2938"/>
    <col min="11777" max="11777" width="22.75" style="2938" customWidth="1"/>
    <col min="11778" max="11778" width="6.25" style="2938" customWidth="1"/>
    <col min="11779" max="11779" width="11.75" style="2938" customWidth="1"/>
    <col min="11780" max="11780" width="7.875" style="2938" customWidth="1"/>
    <col min="11781" max="11782" width="13.875" style="2938" customWidth="1"/>
    <col min="11783" max="11783" width="24.875" style="2938" customWidth="1"/>
    <col min="11784" max="11784" width="9" style="2938" customWidth="1"/>
    <col min="11785" max="11785" width="32.75" style="2938" customWidth="1"/>
    <col min="11786" max="11787" width="10.625" style="2938" customWidth="1"/>
    <col min="11788" max="11788" width="14.375" style="2938" customWidth="1"/>
    <col min="11789" max="11789" width="6.25" style="2938" customWidth="1"/>
    <col min="11790" max="11790" width="7.875" style="2938" customWidth="1"/>
    <col min="11791" max="12032" width="9" style="2938"/>
    <col min="12033" max="12033" width="22.75" style="2938" customWidth="1"/>
    <col min="12034" max="12034" width="6.25" style="2938" customWidth="1"/>
    <col min="12035" max="12035" width="11.75" style="2938" customWidth="1"/>
    <col min="12036" max="12036" width="7.875" style="2938" customWidth="1"/>
    <col min="12037" max="12038" width="13.875" style="2938" customWidth="1"/>
    <col min="12039" max="12039" width="24.875" style="2938" customWidth="1"/>
    <col min="12040" max="12040" width="9" style="2938" customWidth="1"/>
    <col min="12041" max="12041" width="32.75" style="2938" customWidth="1"/>
    <col min="12042" max="12043" width="10.625" style="2938" customWidth="1"/>
    <col min="12044" max="12044" width="14.375" style="2938" customWidth="1"/>
    <col min="12045" max="12045" width="6.25" style="2938" customWidth="1"/>
    <col min="12046" max="12046" width="7.875" style="2938" customWidth="1"/>
    <col min="12047" max="12288" width="9" style="2938"/>
    <col min="12289" max="12289" width="22.75" style="2938" customWidth="1"/>
    <col min="12290" max="12290" width="6.25" style="2938" customWidth="1"/>
    <col min="12291" max="12291" width="11.75" style="2938" customWidth="1"/>
    <col min="12292" max="12292" width="7.875" style="2938" customWidth="1"/>
    <col min="12293" max="12294" width="13.875" style="2938" customWidth="1"/>
    <col min="12295" max="12295" width="24.875" style="2938" customWidth="1"/>
    <col min="12296" max="12296" width="9" style="2938" customWidth="1"/>
    <col min="12297" max="12297" width="32.75" style="2938" customWidth="1"/>
    <col min="12298" max="12299" width="10.625" style="2938" customWidth="1"/>
    <col min="12300" max="12300" width="14.375" style="2938" customWidth="1"/>
    <col min="12301" max="12301" width="6.25" style="2938" customWidth="1"/>
    <col min="12302" max="12302" width="7.875" style="2938" customWidth="1"/>
    <col min="12303" max="12544" width="9" style="2938"/>
    <col min="12545" max="12545" width="22.75" style="2938" customWidth="1"/>
    <col min="12546" max="12546" width="6.25" style="2938" customWidth="1"/>
    <col min="12547" max="12547" width="11.75" style="2938" customWidth="1"/>
    <col min="12548" max="12548" width="7.875" style="2938" customWidth="1"/>
    <col min="12549" max="12550" width="13.875" style="2938" customWidth="1"/>
    <col min="12551" max="12551" width="24.875" style="2938" customWidth="1"/>
    <col min="12552" max="12552" width="9" style="2938" customWidth="1"/>
    <col min="12553" max="12553" width="32.75" style="2938" customWidth="1"/>
    <col min="12554" max="12555" width="10.625" style="2938" customWidth="1"/>
    <col min="12556" max="12556" width="14.375" style="2938" customWidth="1"/>
    <col min="12557" max="12557" width="6.25" style="2938" customWidth="1"/>
    <col min="12558" max="12558" width="7.875" style="2938" customWidth="1"/>
    <col min="12559" max="12800" width="9" style="2938"/>
    <col min="12801" max="12801" width="22.75" style="2938" customWidth="1"/>
    <col min="12802" max="12802" width="6.25" style="2938" customWidth="1"/>
    <col min="12803" max="12803" width="11.75" style="2938" customWidth="1"/>
    <col min="12804" max="12804" width="7.875" style="2938" customWidth="1"/>
    <col min="12805" max="12806" width="13.875" style="2938" customWidth="1"/>
    <col min="12807" max="12807" width="24.875" style="2938" customWidth="1"/>
    <col min="12808" max="12808" width="9" style="2938" customWidth="1"/>
    <col min="12809" max="12809" width="32.75" style="2938" customWidth="1"/>
    <col min="12810" max="12811" width="10.625" style="2938" customWidth="1"/>
    <col min="12812" max="12812" width="14.375" style="2938" customWidth="1"/>
    <col min="12813" max="12813" width="6.25" style="2938" customWidth="1"/>
    <col min="12814" max="12814" width="7.875" style="2938" customWidth="1"/>
    <col min="12815" max="13056" width="9" style="2938"/>
    <col min="13057" max="13057" width="22.75" style="2938" customWidth="1"/>
    <col min="13058" max="13058" width="6.25" style="2938" customWidth="1"/>
    <col min="13059" max="13059" width="11.75" style="2938" customWidth="1"/>
    <col min="13060" max="13060" width="7.875" style="2938" customWidth="1"/>
    <col min="13061" max="13062" width="13.875" style="2938" customWidth="1"/>
    <col min="13063" max="13063" width="24.875" style="2938" customWidth="1"/>
    <col min="13064" max="13064" width="9" style="2938" customWidth="1"/>
    <col min="13065" max="13065" width="32.75" style="2938" customWidth="1"/>
    <col min="13066" max="13067" width="10.625" style="2938" customWidth="1"/>
    <col min="13068" max="13068" width="14.375" style="2938" customWidth="1"/>
    <col min="13069" max="13069" width="6.25" style="2938" customWidth="1"/>
    <col min="13070" max="13070" width="7.875" style="2938" customWidth="1"/>
    <col min="13071" max="13312" width="9" style="2938"/>
    <col min="13313" max="13313" width="22.75" style="2938" customWidth="1"/>
    <col min="13314" max="13314" width="6.25" style="2938" customWidth="1"/>
    <col min="13315" max="13315" width="11.75" style="2938" customWidth="1"/>
    <col min="13316" max="13316" width="7.875" style="2938" customWidth="1"/>
    <col min="13317" max="13318" width="13.875" style="2938" customWidth="1"/>
    <col min="13319" max="13319" width="24.875" style="2938" customWidth="1"/>
    <col min="13320" max="13320" width="9" style="2938" customWidth="1"/>
    <col min="13321" max="13321" width="32.75" style="2938" customWidth="1"/>
    <col min="13322" max="13323" width="10.625" style="2938" customWidth="1"/>
    <col min="13324" max="13324" width="14.375" style="2938" customWidth="1"/>
    <col min="13325" max="13325" width="6.25" style="2938" customWidth="1"/>
    <col min="13326" max="13326" width="7.875" style="2938" customWidth="1"/>
    <col min="13327" max="13568" width="9" style="2938"/>
    <col min="13569" max="13569" width="22.75" style="2938" customWidth="1"/>
    <col min="13570" max="13570" width="6.25" style="2938" customWidth="1"/>
    <col min="13571" max="13571" width="11.75" style="2938" customWidth="1"/>
    <col min="13572" max="13572" width="7.875" style="2938" customWidth="1"/>
    <col min="13573" max="13574" width="13.875" style="2938" customWidth="1"/>
    <col min="13575" max="13575" width="24.875" style="2938" customWidth="1"/>
    <col min="13576" max="13576" width="9" style="2938" customWidth="1"/>
    <col min="13577" max="13577" width="32.75" style="2938" customWidth="1"/>
    <col min="13578" max="13579" width="10.625" style="2938" customWidth="1"/>
    <col min="13580" max="13580" width="14.375" style="2938" customWidth="1"/>
    <col min="13581" max="13581" width="6.25" style="2938" customWidth="1"/>
    <col min="13582" max="13582" width="7.875" style="2938" customWidth="1"/>
    <col min="13583" max="13824" width="9" style="2938"/>
    <col min="13825" max="13825" width="22.75" style="2938" customWidth="1"/>
    <col min="13826" max="13826" width="6.25" style="2938" customWidth="1"/>
    <col min="13827" max="13827" width="11.75" style="2938" customWidth="1"/>
    <col min="13828" max="13828" width="7.875" style="2938" customWidth="1"/>
    <col min="13829" max="13830" width="13.875" style="2938" customWidth="1"/>
    <col min="13831" max="13831" width="24.875" style="2938" customWidth="1"/>
    <col min="13832" max="13832" width="9" style="2938" customWidth="1"/>
    <col min="13833" max="13833" width="32.75" style="2938" customWidth="1"/>
    <col min="13834" max="13835" width="10.625" style="2938" customWidth="1"/>
    <col min="13836" max="13836" width="14.375" style="2938" customWidth="1"/>
    <col min="13837" max="13837" width="6.25" style="2938" customWidth="1"/>
    <col min="13838" max="13838" width="7.875" style="2938" customWidth="1"/>
    <col min="13839" max="14080" width="9" style="2938"/>
    <col min="14081" max="14081" width="22.75" style="2938" customWidth="1"/>
    <col min="14082" max="14082" width="6.25" style="2938" customWidth="1"/>
    <col min="14083" max="14083" width="11.75" style="2938" customWidth="1"/>
    <col min="14084" max="14084" width="7.875" style="2938" customWidth="1"/>
    <col min="14085" max="14086" width="13.875" style="2938" customWidth="1"/>
    <col min="14087" max="14087" width="24.875" style="2938" customWidth="1"/>
    <col min="14088" max="14088" width="9" style="2938" customWidth="1"/>
    <col min="14089" max="14089" width="32.75" style="2938" customWidth="1"/>
    <col min="14090" max="14091" width="10.625" style="2938" customWidth="1"/>
    <col min="14092" max="14092" width="14.375" style="2938" customWidth="1"/>
    <col min="14093" max="14093" width="6.25" style="2938" customWidth="1"/>
    <col min="14094" max="14094" width="7.875" style="2938" customWidth="1"/>
    <col min="14095" max="14336" width="9" style="2938"/>
    <col min="14337" max="14337" width="22.75" style="2938" customWidth="1"/>
    <col min="14338" max="14338" width="6.25" style="2938" customWidth="1"/>
    <col min="14339" max="14339" width="11.75" style="2938" customWidth="1"/>
    <col min="14340" max="14340" width="7.875" style="2938" customWidth="1"/>
    <col min="14341" max="14342" width="13.875" style="2938" customWidth="1"/>
    <col min="14343" max="14343" width="24.875" style="2938" customWidth="1"/>
    <col min="14344" max="14344" width="9" style="2938" customWidth="1"/>
    <col min="14345" max="14345" width="32.75" style="2938" customWidth="1"/>
    <col min="14346" max="14347" width="10.625" style="2938" customWidth="1"/>
    <col min="14348" max="14348" width="14.375" style="2938" customWidth="1"/>
    <col min="14349" max="14349" width="6.25" style="2938" customWidth="1"/>
    <col min="14350" max="14350" width="7.875" style="2938" customWidth="1"/>
    <col min="14351" max="14592" width="9" style="2938"/>
    <col min="14593" max="14593" width="22.75" style="2938" customWidth="1"/>
    <col min="14594" max="14594" width="6.25" style="2938" customWidth="1"/>
    <col min="14595" max="14595" width="11.75" style="2938" customWidth="1"/>
    <col min="14596" max="14596" width="7.875" style="2938" customWidth="1"/>
    <col min="14597" max="14598" width="13.875" style="2938" customWidth="1"/>
    <col min="14599" max="14599" width="24.875" style="2938" customWidth="1"/>
    <col min="14600" max="14600" width="9" style="2938" customWidth="1"/>
    <col min="14601" max="14601" width="32.75" style="2938" customWidth="1"/>
    <col min="14602" max="14603" width="10.625" style="2938" customWidth="1"/>
    <col min="14604" max="14604" width="14.375" style="2938" customWidth="1"/>
    <col min="14605" max="14605" width="6.25" style="2938" customWidth="1"/>
    <col min="14606" max="14606" width="7.875" style="2938" customWidth="1"/>
    <col min="14607" max="14848" width="9" style="2938"/>
    <col min="14849" max="14849" width="22.75" style="2938" customWidth="1"/>
    <col min="14850" max="14850" width="6.25" style="2938" customWidth="1"/>
    <col min="14851" max="14851" width="11.75" style="2938" customWidth="1"/>
    <col min="14852" max="14852" width="7.875" style="2938" customWidth="1"/>
    <col min="14853" max="14854" width="13.875" style="2938" customWidth="1"/>
    <col min="14855" max="14855" width="24.875" style="2938" customWidth="1"/>
    <col min="14856" max="14856" width="9" style="2938" customWidth="1"/>
    <col min="14857" max="14857" width="32.75" style="2938" customWidth="1"/>
    <col min="14858" max="14859" width="10.625" style="2938" customWidth="1"/>
    <col min="14860" max="14860" width="14.375" style="2938" customWidth="1"/>
    <col min="14861" max="14861" width="6.25" style="2938" customWidth="1"/>
    <col min="14862" max="14862" width="7.875" style="2938" customWidth="1"/>
    <col min="14863" max="15104" width="9" style="2938"/>
    <col min="15105" max="15105" width="22.75" style="2938" customWidth="1"/>
    <col min="15106" max="15106" width="6.25" style="2938" customWidth="1"/>
    <col min="15107" max="15107" width="11.75" style="2938" customWidth="1"/>
    <col min="15108" max="15108" width="7.875" style="2938" customWidth="1"/>
    <col min="15109" max="15110" width="13.875" style="2938" customWidth="1"/>
    <col min="15111" max="15111" width="24.875" style="2938" customWidth="1"/>
    <col min="15112" max="15112" width="9" style="2938" customWidth="1"/>
    <col min="15113" max="15113" width="32.75" style="2938" customWidth="1"/>
    <col min="15114" max="15115" width="10.625" style="2938" customWidth="1"/>
    <col min="15116" max="15116" width="14.375" style="2938" customWidth="1"/>
    <col min="15117" max="15117" width="6.25" style="2938" customWidth="1"/>
    <col min="15118" max="15118" width="7.875" style="2938" customWidth="1"/>
    <col min="15119" max="15360" width="9" style="2938"/>
    <col min="15361" max="15361" width="22.75" style="2938" customWidth="1"/>
    <col min="15362" max="15362" width="6.25" style="2938" customWidth="1"/>
    <col min="15363" max="15363" width="11.75" style="2938" customWidth="1"/>
    <col min="15364" max="15364" width="7.875" style="2938" customWidth="1"/>
    <col min="15365" max="15366" width="13.875" style="2938" customWidth="1"/>
    <col min="15367" max="15367" width="24.875" style="2938" customWidth="1"/>
    <col min="15368" max="15368" width="9" style="2938" customWidth="1"/>
    <col min="15369" max="15369" width="32.75" style="2938" customWidth="1"/>
    <col min="15370" max="15371" width="10.625" style="2938" customWidth="1"/>
    <col min="15372" max="15372" width="14.375" style="2938" customWidth="1"/>
    <col min="15373" max="15373" width="6.25" style="2938" customWidth="1"/>
    <col min="15374" max="15374" width="7.875" style="2938" customWidth="1"/>
    <col min="15375" max="15616" width="9" style="2938"/>
    <col min="15617" max="15617" width="22.75" style="2938" customWidth="1"/>
    <col min="15618" max="15618" width="6.25" style="2938" customWidth="1"/>
    <col min="15619" max="15619" width="11.75" style="2938" customWidth="1"/>
    <col min="15620" max="15620" width="7.875" style="2938" customWidth="1"/>
    <col min="15621" max="15622" width="13.875" style="2938" customWidth="1"/>
    <col min="15623" max="15623" width="24.875" style="2938" customWidth="1"/>
    <col min="15624" max="15624" width="9" style="2938" customWidth="1"/>
    <col min="15625" max="15625" width="32.75" style="2938" customWidth="1"/>
    <col min="15626" max="15627" width="10.625" style="2938" customWidth="1"/>
    <col min="15628" max="15628" width="14.375" style="2938" customWidth="1"/>
    <col min="15629" max="15629" width="6.25" style="2938" customWidth="1"/>
    <col min="15630" max="15630" width="7.875" style="2938" customWidth="1"/>
    <col min="15631" max="15872" width="9" style="2938"/>
    <col min="15873" max="15873" width="22.75" style="2938" customWidth="1"/>
    <col min="15874" max="15874" width="6.25" style="2938" customWidth="1"/>
    <col min="15875" max="15875" width="11.75" style="2938" customWidth="1"/>
    <col min="15876" max="15876" width="7.875" style="2938" customWidth="1"/>
    <col min="15877" max="15878" width="13.875" style="2938" customWidth="1"/>
    <col min="15879" max="15879" width="24.875" style="2938" customWidth="1"/>
    <col min="15880" max="15880" width="9" style="2938" customWidth="1"/>
    <col min="15881" max="15881" width="32.75" style="2938" customWidth="1"/>
    <col min="15882" max="15883" width="10.625" style="2938" customWidth="1"/>
    <col min="15884" max="15884" width="14.375" style="2938" customWidth="1"/>
    <col min="15885" max="15885" width="6.25" style="2938" customWidth="1"/>
    <col min="15886" max="15886" width="7.875" style="2938" customWidth="1"/>
    <col min="15887" max="16128" width="9" style="2938"/>
    <col min="16129" max="16129" width="22.75" style="2938" customWidth="1"/>
    <col min="16130" max="16130" width="6.25" style="2938" customWidth="1"/>
    <col min="16131" max="16131" width="11.75" style="2938" customWidth="1"/>
    <col min="16132" max="16132" width="7.875" style="2938" customWidth="1"/>
    <col min="16133" max="16134" width="13.875" style="2938" customWidth="1"/>
    <col min="16135" max="16135" width="24.875" style="2938" customWidth="1"/>
    <col min="16136" max="16136" width="9" style="2938" customWidth="1"/>
    <col min="16137" max="16137" width="32.75" style="2938" customWidth="1"/>
    <col min="16138" max="16139" width="10.625" style="2938" customWidth="1"/>
    <col min="16140" max="16140" width="14.375" style="2938" customWidth="1"/>
    <col min="16141" max="16141" width="6.25" style="2938" customWidth="1"/>
    <col min="16142" max="16142" width="7.875" style="2938" customWidth="1"/>
    <col min="16143" max="16384" width="9" style="2938"/>
  </cols>
  <sheetData>
    <row r="1" spans="1:14">
      <c r="A1" s="2938" t="s">
        <v>3015</v>
      </c>
      <c r="B1" s="2938" t="s">
        <v>3016</v>
      </c>
      <c r="C1" s="2938" t="s">
        <v>3017</v>
      </c>
      <c r="D1" s="2938" t="s">
        <v>3018</v>
      </c>
      <c r="E1" s="2938" t="s">
        <v>3019</v>
      </c>
      <c r="F1" s="2938" t="s">
        <v>3020</v>
      </c>
      <c r="G1" s="2938" t="s">
        <v>2033</v>
      </c>
      <c r="H1" s="2938" t="s">
        <v>3021</v>
      </c>
      <c r="I1" s="2938" t="s">
        <v>3022</v>
      </c>
      <c r="J1" s="2938" t="s">
        <v>3023</v>
      </c>
      <c r="K1" s="3178" t="s">
        <v>3024</v>
      </c>
      <c r="L1" s="2938" t="s">
        <v>3025</v>
      </c>
      <c r="M1" s="2938" t="s">
        <v>3026</v>
      </c>
      <c r="N1" s="2938" t="s">
        <v>3027</v>
      </c>
    </row>
    <row r="2" spans="1:14">
      <c r="A2" s="3185" t="s">
        <v>3065</v>
      </c>
      <c r="B2" s="3186" t="s">
        <v>3029</v>
      </c>
      <c r="C2" s="3186" t="s">
        <v>3030</v>
      </c>
      <c r="D2" s="3186" t="s">
        <v>3031</v>
      </c>
      <c r="E2" s="3186">
        <v>11000</v>
      </c>
      <c r="F2" s="3186">
        <v>33000</v>
      </c>
      <c r="G2" s="3186" t="s">
        <v>3066</v>
      </c>
      <c r="H2" s="3186" t="s">
        <v>3067</v>
      </c>
      <c r="I2" s="3186" t="s">
        <v>3068</v>
      </c>
      <c r="J2" s="3186">
        <v>2475</v>
      </c>
      <c r="K2" s="3184">
        <f>ROUND(J2/E2*10000,2)</f>
        <v>2250</v>
      </c>
      <c r="L2" s="3186">
        <v>750</v>
      </c>
      <c r="M2" s="3186">
        <v>0</v>
      </c>
      <c r="N2" s="3186" t="s">
        <v>3035</v>
      </c>
    </row>
    <row r="3" spans="1:14" ht="14.25">
      <c r="A3" s="3181" t="s">
        <v>3052</v>
      </c>
      <c r="B3" s="3181" t="s">
        <v>3029</v>
      </c>
      <c r="C3" s="3181" t="s">
        <v>3030</v>
      </c>
      <c r="D3" s="3181" t="s">
        <v>3031</v>
      </c>
      <c r="E3" s="3181">
        <v>1566</v>
      </c>
      <c r="F3" s="3181">
        <v>7516.8</v>
      </c>
      <c r="G3" s="3181" t="s">
        <v>3053</v>
      </c>
      <c r="H3" s="3181" t="s">
        <v>3054</v>
      </c>
      <c r="I3" s="3181" t="s">
        <v>3055</v>
      </c>
      <c r="J3" s="3181">
        <v>312</v>
      </c>
      <c r="K3" s="3184">
        <f t="shared" ref="K3:K23" si="0">ROUND(J3/E3*10000,2)</f>
        <v>1992.34</v>
      </c>
      <c r="L3" s="3181">
        <v>415.06</v>
      </c>
      <c r="M3" s="3181">
        <v>0</v>
      </c>
      <c r="N3" s="3181" t="s">
        <v>3056</v>
      </c>
    </row>
    <row r="4" spans="1:14">
      <c r="A4" s="2938" t="s">
        <v>3097</v>
      </c>
      <c r="B4" s="2938" t="s">
        <v>3029</v>
      </c>
      <c r="C4" s="2938" t="s">
        <v>3030</v>
      </c>
      <c r="D4" s="2938" t="s">
        <v>3083</v>
      </c>
      <c r="E4" s="2938">
        <v>19798</v>
      </c>
      <c r="F4" s="2938">
        <v>79192</v>
      </c>
      <c r="G4" s="2938" t="s">
        <v>3098</v>
      </c>
      <c r="H4" s="2938" t="s">
        <v>3095</v>
      </c>
      <c r="I4" s="2938" t="s">
        <v>3099</v>
      </c>
      <c r="J4" s="2938">
        <v>2645</v>
      </c>
      <c r="K4" s="3184">
        <f t="shared" si="0"/>
        <v>1335.99</v>
      </c>
      <c r="L4" s="2938" t="s">
        <v>2817</v>
      </c>
      <c r="M4" s="2938" t="s">
        <v>3035</v>
      </c>
    </row>
    <row r="5" spans="1:14">
      <c r="A5" s="2938" t="s">
        <v>3061</v>
      </c>
      <c r="B5" s="2938" t="s">
        <v>3029</v>
      </c>
      <c r="C5" s="2938" t="s">
        <v>3030</v>
      </c>
      <c r="D5" s="2938" t="s">
        <v>3083</v>
      </c>
      <c r="E5" s="2938">
        <v>40229</v>
      </c>
      <c r="F5" s="2938">
        <v>104595.4</v>
      </c>
      <c r="G5" s="2938" t="s">
        <v>3084</v>
      </c>
      <c r="H5" s="2938" t="s">
        <v>3085</v>
      </c>
      <c r="I5" s="2938" t="s">
        <v>3086</v>
      </c>
      <c r="J5" s="2938">
        <v>4915</v>
      </c>
      <c r="K5" s="3184">
        <f t="shared" si="0"/>
        <v>1221.76</v>
      </c>
      <c r="L5" s="2938" t="s">
        <v>2817</v>
      </c>
      <c r="M5" s="2938" t="s">
        <v>3087</v>
      </c>
    </row>
    <row r="6" spans="1:14">
      <c r="A6" s="3183" t="s">
        <v>3061</v>
      </c>
      <c r="B6" s="3183" t="s">
        <v>3029</v>
      </c>
      <c r="C6" s="3183" t="s">
        <v>3030</v>
      </c>
      <c r="D6" s="3183" t="s">
        <v>3031</v>
      </c>
      <c r="E6" s="3183">
        <v>28961</v>
      </c>
      <c r="F6" s="3183">
        <v>43441.5</v>
      </c>
      <c r="G6" s="3183" t="s">
        <v>3049</v>
      </c>
      <c r="H6" s="3183" t="s">
        <v>3062</v>
      </c>
      <c r="I6" s="3183" t="s">
        <v>3063</v>
      </c>
      <c r="J6" s="3183">
        <v>3308</v>
      </c>
      <c r="K6" s="3184">
        <f t="shared" si="0"/>
        <v>1142.23</v>
      </c>
      <c r="L6" s="3183">
        <v>761.48</v>
      </c>
      <c r="M6" s="3183">
        <v>0</v>
      </c>
      <c r="N6" s="3183" t="s">
        <v>3064</v>
      </c>
    </row>
    <row r="7" spans="1:14">
      <c r="A7" s="2938" t="s">
        <v>3092</v>
      </c>
      <c r="B7" s="2938" t="s">
        <v>3029</v>
      </c>
      <c r="C7" s="2938" t="s">
        <v>3030</v>
      </c>
      <c r="D7" s="2938" t="s">
        <v>3083</v>
      </c>
      <c r="E7" s="2938">
        <v>40000</v>
      </c>
      <c r="F7" s="2938">
        <v>96000</v>
      </c>
      <c r="G7" s="2938" t="s">
        <v>3089</v>
      </c>
      <c r="H7" s="2938" t="s">
        <v>3090</v>
      </c>
      <c r="I7" s="2938" t="s">
        <v>3091</v>
      </c>
      <c r="J7" s="2938">
        <v>4256</v>
      </c>
      <c r="K7" s="3184">
        <f t="shared" si="0"/>
        <v>1064</v>
      </c>
      <c r="L7" s="2938" t="s">
        <v>2817</v>
      </c>
      <c r="M7" s="2938" t="s">
        <v>3035</v>
      </c>
    </row>
    <row r="8" spans="1:14" hidden="1">
      <c r="K8" s="3184" t="e">
        <f t="shared" si="0"/>
        <v>#DIV/0!</v>
      </c>
    </row>
    <row r="9" spans="1:14">
      <c r="A9" s="2938" t="s">
        <v>3092</v>
      </c>
      <c r="B9" s="2938" t="s">
        <v>3029</v>
      </c>
      <c r="C9" s="2938" t="s">
        <v>3030</v>
      </c>
      <c r="D9" s="2938" t="s">
        <v>3083</v>
      </c>
      <c r="E9" s="2938">
        <v>40000</v>
      </c>
      <c r="F9" s="2938">
        <v>96000</v>
      </c>
      <c r="G9" s="2938" t="s">
        <v>3089</v>
      </c>
      <c r="H9" s="2938" t="s">
        <v>3090</v>
      </c>
      <c r="I9" s="2938" t="s">
        <v>3091</v>
      </c>
      <c r="J9" s="2938">
        <v>4256</v>
      </c>
      <c r="K9" s="3184">
        <f t="shared" si="0"/>
        <v>1064</v>
      </c>
      <c r="L9" s="2938" t="s">
        <v>2817</v>
      </c>
      <c r="M9" s="2938" t="s">
        <v>3035</v>
      </c>
    </row>
    <row r="10" spans="1:14" s="3181" customFormat="1" ht="14.25">
      <c r="A10" s="2938" t="s">
        <v>3088</v>
      </c>
      <c r="B10" s="2938" t="s">
        <v>3029</v>
      </c>
      <c r="C10" s="2938" t="s">
        <v>3030</v>
      </c>
      <c r="D10" s="2938" t="s">
        <v>3083</v>
      </c>
      <c r="E10" s="2938">
        <v>53334</v>
      </c>
      <c r="F10" s="2938">
        <v>128001.60000000001</v>
      </c>
      <c r="G10" s="2938" t="s">
        <v>3089</v>
      </c>
      <c r="H10" s="2938" t="s">
        <v>3090</v>
      </c>
      <c r="I10" s="2938" t="s">
        <v>3091</v>
      </c>
      <c r="J10" s="2938">
        <v>5521</v>
      </c>
      <c r="K10" s="3184">
        <f t="shared" si="0"/>
        <v>1035.17</v>
      </c>
      <c r="L10" s="2938" t="s">
        <v>2817</v>
      </c>
      <c r="M10" s="2938" t="s">
        <v>3035</v>
      </c>
      <c r="N10" s="2938"/>
    </row>
    <row r="11" spans="1:14">
      <c r="A11" s="3180" t="s">
        <v>3043</v>
      </c>
      <c r="B11" s="2938" t="s">
        <v>3029</v>
      </c>
      <c r="C11" s="2938" t="s">
        <v>3030</v>
      </c>
      <c r="D11" s="2938" t="s">
        <v>3031</v>
      </c>
      <c r="E11" s="2938">
        <v>39602</v>
      </c>
      <c r="F11" s="2938">
        <v>69303.5</v>
      </c>
      <c r="G11" s="2938" t="s">
        <v>3044</v>
      </c>
      <c r="H11" s="2938" t="s">
        <v>3045</v>
      </c>
      <c r="I11" s="2938" t="s">
        <v>3046</v>
      </c>
      <c r="J11" s="2938">
        <v>3145</v>
      </c>
      <c r="K11" s="3184">
        <f t="shared" si="0"/>
        <v>794.15</v>
      </c>
      <c r="L11" s="2938">
        <v>453.8</v>
      </c>
      <c r="M11" s="2938">
        <v>0</v>
      </c>
      <c r="N11" s="2938" t="s">
        <v>3035</v>
      </c>
    </row>
    <row r="12" spans="1:14" s="3186" customFormat="1">
      <c r="A12" s="3186" t="s">
        <v>3047</v>
      </c>
      <c r="B12" s="3186" t="s">
        <v>3029</v>
      </c>
      <c r="C12" s="3186" t="s">
        <v>3030</v>
      </c>
      <c r="D12" s="3186" t="s">
        <v>3031</v>
      </c>
      <c r="E12" s="3186">
        <v>55420</v>
      </c>
      <c r="F12" s="3186">
        <v>96985</v>
      </c>
      <c r="G12" s="3186" t="s">
        <v>3044</v>
      </c>
      <c r="H12" s="3186" t="s">
        <v>3045</v>
      </c>
      <c r="I12" s="3186" t="s">
        <v>3046</v>
      </c>
      <c r="J12" s="3186">
        <v>4401</v>
      </c>
      <c r="K12" s="3182">
        <f t="shared" si="0"/>
        <v>794.12</v>
      </c>
      <c r="L12" s="3186">
        <v>453.77</v>
      </c>
      <c r="M12" s="3186">
        <v>0</v>
      </c>
      <c r="N12" s="3186" t="s">
        <v>3035</v>
      </c>
    </row>
    <row r="13" spans="1:14" s="3183" customFormat="1">
      <c r="A13" s="3183" t="s">
        <v>3073</v>
      </c>
      <c r="B13" s="3183" t="s">
        <v>3029</v>
      </c>
      <c r="C13" s="3183" t="s">
        <v>3030</v>
      </c>
      <c r="D13" s="3183" t="s">
        <v>3031</v>
      </c>
      <c r="E13" s="3183">
        <v>6889</v>
      </c>
      <c r="F13" s="3183">
        <v>8266.7999999999993</v>
      </c>
      <c r="G13" s="3183" t="s">
        <v>3074</v>
      </c>
      <c r="H13" s="3183" t="s">
        <v>3071</v>
      </c>
      <c r="I13" s="3183" t="s">
        <v>3075</v>
      </c>
      <c r="J13" s="3183">
        <v>465</v>
      </c>
      <c r="K13" s="3184">
        <f t="shared" si="0"/>
        <v>674.99</v>
      </c>
      <c r="L13" s="3183">
        <v>562.49</v>
      </c>
      <c r="M13" s="3183">
        <v>0</v>
      </c>
      <c r="N13" s="3183" t="s">
        <v>3035</v>
      </c>
    </row>
    <row r="14" spans="1:14" s="3186" customFormat="1">
      <c r="A14" s="3189" t="s">
        <v>3125</v>
      </c>
      <c r="B14" s="3186" t="s">
        <v>3029</v>
      </c>
      <c r="C14" s="3186" t="s">
        <v>3030</v>
      </c>
      <c r="D14" s="3186" t="s">
        <v>3031</v>
      </c>
      <c r="E14" s="3186">
        <v>5040</v>
      </c>
      <c r="F14" s="3186">
        <v>27720</v>
      </c>
      <c r="G14" s="3186" t="s">
        <v>3036</v>
      </c>
      <c r="H14" s="3186" t="s">
        <v>3033</v>
      </c>
      <c r="I14" s="3186" t="s">
        <v>3034</v>
      </c>
      <c r="J14" s="3186">
        <v>334</v>
      </c>
      <c r="K14" s="3182">
        <f t="shared" si="0"/>
        <v>662.7</v>
      </c>
      <c r="L14" s="3186">
        <v>120.48</v>
      </c>
      <c r="M14" s="3186">
        <v>0</v>
      </c>
      <c r="N14" s="3186" t="s">
        <v>3035</v>
      </c>
    </row>
    <row r="15" spans="1:14" s="3186" customFormat="1">
      <c r="A15" s="3186" t="s">
        <v>3057</v>
      </c>
      <c r="B15" s="3186" t="s">
        <v>3029</v>
      </c>
      <c r="C15" s="3186" t="s">
        <v>3030</v>
      </c>
      <c r="D15" s="3186" t="s">
        <v>3031</v>
      </c>
      <c r="E15" s="3186">
        <v>26000</v>
      </c>
      <c r="F15" s="3186">
        <v>64220</v>
      </c>
      <c r="G15" s="3186" t="s">
        <v>3058</v>
      </c>
      <c r="H15" s="3186" t="s">
        <v>3059</v>
      </c>
      <c r="I15" s="3186" t="s">
        <v>3060</v>
      </c>
      <c r="J15" s="3186">
        <v>1680</v>
      </c>
      <c r="K15" s="3182">
        <f t="shared" si="0"/>
        <v>646.15</v>
      </c>
      <c r="L15" s="3186">
        <v>261.60000000000002</v>
      </c>
      <c r="M15" s="3186">
        <v>0</v>
      </c>
      <c r="N15" s="3186" t="s">
        <v>3035</v>
      </c>
    </row>
    <row r="16" spans="1:14">
      <c r="A16" s="2938" t="s">
        <v>3028</v>
      </c>
      <c r="B16" s="2938" t="s">
        <v>3029</v>
      </c>
      <c r="C16" s="2938" t="s">
        <v>3030</v>
      </c>
      <c r="D16" s="2938" t="s">
        <v>3031</v>
      </c>
      <c r="E16" s="2938">
        <v>2938</v>
      </c>
      <c r="F16" s="2938">
        <v>11164.4</v>
      </c>
      <c r="G16" s="2938" t="s">
        <v>3032</v>
      </c>
      <c r="H16" s="2938" t="s">
        <v>3033</v>
      </c>
      <c r="I16" s="2938" t="s">
        <v>3034</v>
      </c>
      <c r="J16" s="2938">
        <v>183</v>
      </c>
      <c r="K16" s="3184">
        <f t="shared" si="0"/>
        <v>622.87</v>
      </c>
      <c r="L16" s="2938">
        <v>163.9</v>
      </c>
      <c r="M16" s="2938">
        <v>0</v>
      </c>
      <c r="N16" s="2938" t="s">
        <v>3035</v>
      </c>
    </row>
    <row r="17" spans="1:14">
      <c r="A17" s="2938" t="s">
        <v>3028</v>
      </c>
      <c r="B17" s="2938" t="s">
        <v>3029</v>
      </c>
      <c r="C17" s="2938" t="s">
        <v>3030</v>
      </c>
      <c r="D17" s="2938" t="s">
        <v>3031</v>
      </c>
      <c r="E17" s="2938">
        <v>3071</v>
      </c>
      <c r="F17" s="2938">
        <v>11055.6</v>
      </c>
      <c r="G17" s="2938" t="s">
        <v>3037</v>
      </c>
      <c r="H17" s="2938" t="s">
        <v>3033</v>
      </c>
      <c r="I17" s="2938" t="s">
        <v>3038</v>
      </c>
      <c r="J17" s="2938">
        <v>186</v>
      </c>
      <c r="K17" s="3184">
        <f t="shared" si="0"/>
        <v>605.66999999999996</v>
      </c>
      <c r="L17" s="2938">
        <v>168.24</v>
      </c>
      <c r="M17" s="2938">
        <v>0</v>
      </c>
      <c r="N17" s="2938" t="s">
        <v>3035</v>
      </c>
    </row>
    <row r="18" spans="1:14">
      <c r="A18" s="2938" t="s">
        <v>3080</v>
      </c>
      <c r="B18" s="2938" t="s">
        <v>3029</v>
      </c>
      <c r="C18" s="2938" t="s">
        <v>3030</v>
      </c>
      <c r="D18" s="2938" t="s">
        <v>3031</v>
      </c>
      <c r="E18" s="2938">
        <v>40027</v>
      </c>
      <c r="F18" s="2938">
        <v>60040.5</v>
      </c>
      <c r="G18" s="2938" t="s">
        <v>3081</v>
      </c>
      <c r="H18" s="2938" t="s">
        <v>3078</v>
      </c>
      <c r="I18" s="2938" t="s">
        <v>3082</v>
      </c>
      <c r="J18" s="2938">
        <v>2311</v>
      </c>
      <c r="K18" s="3184">
        <f t="shared" si="0"/>
        <v>577.36</v>
      </c>
      <c r="L18" s="2938">
        <v>384.91</v>
      </c>
      <c r="M18" s="2938">
        <v>0</v>
      </c>
      <c r="N18" s="2938" t="s">
        <v>3035</v>
      </c>
    </row>
    <row r="19" spans="1:14">
      <c r="A19" s="2938" t="s">
        <v>3093</v>
      </c>
      <c r="B19" s="2938" t="s">
        <v>3029</v>
      </c>
      <c r="C19" s="2938" t="s">
        <v>3030</v>
      </c>
      <c r="D19" s="2938" t="s">
        <v>3083</v>
      </c>
      <c r="E19" s="2938">
        <v>1600</v>
      </c>
      <c r="F19" s="2938">
        <v>3840</v>
      </c>
      <c r="G19" s="2938" t="s">
        <v>3094</v>
      </c>
      <c r="H19" s="2938" t="s">
        <v>3095</v>
      </c>
      <c r="I19" s="2938" t="s">
        <v>3096</v>
      </c>
      <c r="J19" s="2938">
        <v>91</v>
      </c>
      <c r="K19" s="3184">
        <f t="shared" si="0"/>
        <v>568.75</v>
      </c>
      <c r="L19" s="2938" t="s">
        <v>2817</v>
      </c>
      <c r="M19" s="2938" t="s">
        <v>3035</v>
      </c>
    </row>
    <row r="20" spans="1:14">
      <c r="A20" s="2938" t="s">
        <v>3076</v>
      </c>
      <c r="B20" s="2938" t="s">
        <v>3029</v>
      </c>
      <c r="C20" s="2938" t="s">
        <v>3030</v>
      </c>
      <c r="D20" s="2938" t="s">
        <v>3031</v>
      </c>
      <c r="E20" s="2938">
        <v>6394</v>
      </c>
      <c r="F20" s="2938">
        <v>14002.86</v>
      </c>
      <c r="G20" s="2938" t="s">
        <v>3077</v>
      </c>
      <c r="H20" s="2938" t="s">
        <v>3078</v>
      </c>
      <c r="I20" s="2938" t="s">
        <v>3079</v>
      </c>
      <c r="J20" s="2938">
        <v>239</v>
      </c>
      <c r="K20" s="3184">
        <f t="shared" si="0"/>
        <v>373.79</v>
      </c>
      <c r="L20" s="2938">
        <v>170.68</v>
      </c>
      <c r="M20" s="2938">
        <v>0</v>
      </c>
      <c r="N20" s="2938" t="s">
        <v>3035</v>
      </c>
    </row>
    <row r="21" spans="1:14">
      <c r="A21" s="2938" t="s">
        <v>3039</v>
      </c>
      <c r="B21" s="2938" t="s">
        <v>3029</v>
      </c>
      <c r="C21" s="2938" t="s">
        <v>3030</v>
      </c>
      <c r="D21" s="2938" t="s">
        <v>3031</v>
      </c>
      <c r="E21" s="2938">
        <v>25180</v>
      </c>
      <c r="F21" s="2938">
        <v>45324</v>
      </c>
      <c r="G21" s="2938" t="s">
        <v>3040</v>
      </c>
      <c r="H21" s="2938" t="s">
        <v>3041</v>
      </c>
      <c r="I21" s="2938" t="s">
        <v>3042</v>
      </c>
      <c r="J21" s="2938">
        <v>643</v>
      </c>
      <c r="K21" s="3184">
        <f t="shared" si="0"/>
        <v>255.36</v>
      </c>
      <c r="L21" s="2938">
        <v>141.87</v>
      </c>
      <c r="M21" s="2938">
        <v>0</v>
      </c>
      <c r="N21" s="2938" t="s">
        <v>3035</v>
      </c>
    </row>
    <row r="22" spans="1:14">
      <c r="A22" s="2938" t="s">
        <v>3048</v>
      </c>
      <c r="B22" s="2938" t="s">
        <v>3029</v>
      </c>
      <c r="C22" s="2938" t="s">
        <v>3030</v>
      </c>
      <c r="D22" s="2938" t="s">
        <v>3031</v>
      </c>
      <c r="E22" s="2938">
        <v>3732</v>
      </c>
      <c r="F22" s="2938">
        <v>5598</v>
      </c>
      <c r="G22" s="2938" t="s">
        <v>3049</v>
      </c>
      <c r="H22" s="2938" t="s">
        <v>3050</v>
      </c>
      <c r="I22" s="2938" t="s">
        <v>3051</v>
      </c>
      <c r="J22" s="2938">
        <v>90</v>
      </c>
      <c r="K22" s="3184">
        <f t="shared" si="0"/>
        <v>241.16</v>
      </c>
      <c r="L22" s="2938">
        <v>160.77000000000001</v>
      </c>
      <c r="M22" s="2938">
        <v>0</v>
      </c>
      <c r="N22" s="2938" t="s">
        <v>3035</v>
      </c>
    </row>
    <row r="23" spans="1:14">
      <c r="A23" s="2938" t="s">
        <v>3069</v>
      </c>
      <c r="B23" s="2938" t="s">
        <v>3029</v>
      </c>
      <c r="C23" s="2938" t="s">
        <v>3030</v>
      </c>
      <c r="D23" s="2938" t="s">
        <v>3031</v>
      </c>
      <c r="E23" s="2938">
        <v>4000</v>
      </c>
      <c r="F23" s="2938">
        <v>10000</v>
      </c>
      <c r="G23" s="2938" t="s">
        <v>3070</v>
      </c>
      <c r="H23" s="2938" t="s">
        <v>3071</v>
      </c>
      <c r="I23" s="2938" t="s">
        <v>3072</v>
      </c>
      <c r="J23" s="2938">
        <v>96</v>
      </c>
      <c r="K23" s="3184">
        <f t="shared" si="0"/>
        <v>240</v>
      </c>
      <c r="L23" s="2938">
        <v>96</v>
      </c>
      <c r="M23" s="2938">
        <v>0</v>
      </c>
      <c r="N23" s="2938" t="s">
        <v>3035</v>
      </c>
    </row>
  </sheetData>
  <sortState ref="A2:N23">
    <sortCondition descending="1" ref="K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2039</v>
      </c>
      <c r="B1" s="3197"/>
      <c r="C1" s="3197"/>
      <c r="D1" s="3197"/>
      <c r="E1" s="3197"/>
      <c r="F1" s="3197"/>
      <c r="G1" s="3197"/>
      <c r="H1" s="3197"/>
      <c r="I1" s="3197"/>
      <c r="J1" s="3197"/>
      <c r="K1" s="3197"/>
      <c r="L1" s="3197"/>
      <c r="M1" s="3197"/>
      <c r="N1" s="3197"/>
      <c r="O1" s="3197"/>
      <c r="P1" s="3197"/>
      <c r="Q1" s="3197"/>
      <c r="R1" s="3197"/>
    </row>
    <row r="2" spans="1:18">
      <c r="A2" s="1808" t="s">
        <v>2041</v>
      </c>
      <c r="B2" s="1808"/>
      <c r="C2" s="1808"/>
      <c r="D2" s="1808"/>
      <c r="E2" s="1808"/>
      <c r="F2" s="1808"/>
      <c r="G2" s="1808"/>
      <c r="H2" s="1808"/>
      <c r="I2" s="1809"/>
      <c r="J2" s="1809"/>
      <c r="K2" s="1810" t="str">
        <f>"估价期日："&amp;TEXT(项目基本情况!D3,"yyyy年m月d日;;")</f>
        <v>估价期日：2018年11月22日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8" t="s">
        <v>2030</v>
      </c>
      <c r="B3" s="3198" t="s">
        <v>2730</v>
      </c>
      <c r="C3" s="3199" t="s">
        <v>2031</v>
      </c>
      <c r="D3" s="3198" t="s">
        <v>2734</v>
      </c>
      <c r="E3" s="3201" t="s">
        <v>2032</v>
      </c>
      <c r="F3" s="3201"/>
      <c r="G3" s="3201"/>
      <c r="H3" s="3201" t="s">
        <v>2033</v>
      </c>
      <c r="I3" s="3201"/>
      <c r="J3" s="3201"/>
      <c r="K3" s="3199" t="s">
        <v>2034</v>
      </c>
      <c r="L3" s="3199" t="s">
        <v>2035</v>
      </c>
      <c r="M3" s="3198" t="s">
        <v>2731</v>
      </c>
      <c r="N3" s="3200" t="str">
        <f>"（分摊）"&amp;项目基本情况!B16&amp;"国有建设用地使用权面积/㎡"</f>
        <v>（分摊）出让国有建设用地使用权面积/㎡</v>
      </c>
      <c r="O3" s="3198" t="s">
        <v>2064</v>
      </c>
      <c r="P3" s="3199" t="s">
        <v>2044</v>
      </c>
      <c r="Q3" s="3199" t="s">
        <v>2065</v>
      </c>
      <c r="R3" s="3199" t="s">
        <v>2036</v>
      </c>
    </row>
    <row r="4" spans="1:18" ht="36.75" customHeight="1">
      <c r="A4" s="3198"/>
      <c r="B4" s="3198"/>
      <c r="C4" s="3199"/>
      <c r="D4" s="3198"/>
      <c r="E4" s="2648" t="s">
        <v>2043</v>
      </c>
      <c r="F4" s="2648" t="s">
        <v>2743</v>
      </c>
      <c r="G4" s="2648" t="s">
        <v>2037</v>
      </c>
      <c r="H4" s="2648" t="s">
        <v>2038</v>
      </c>
      <c r="I4" s="2648" t="s">
        <v>2744</v>
      </c>
      <c r="J4" s="2648" t="s">
        <v>2037</v>
      </c>
      <c r="K4" s="3199"/>
      <c r="L4" s="3199"/>
      <c r="M4" s="3198"/>
      <c r="N4" s="3200"/>
      <c r="O4" s="3198"/>
      <c r="P4" s="3199"/>
      <c r="Q4" s="3199"/>
      <c r="R4" s="3199"/>
    </row>
    <row r="5" spans="1:18" ht="135" customHeight="1">
      <c r="A5" s="1944" t="s">
        <v>2654</v>
      </c>
      <c r="B5" s="2866" t="s">
        <v>2652</v>
      </c>
      <c r="C5" s="2647">
        <v>22</v>
      </c>
      <c r="D5" s="2646" t="s">
        <v>2653</v>
      </c>
      <c r="E5" s="1811" t="str">
        <f>项目基本情况!B12</f>
        <v>商服用地</v>
      </c>
      <c r="F5" s="2646">
        <v>258</v>
      </c>
      <c r="G5" s="1811" t="str">
        <f>项目基本情况!B13</f>
        <v>商服用地</v>
      </c>
      <c r="H5" s="2646">
        <v>1.5</v>
      </c>
      <c r="I5" s="2646">
        <v>1.5</v>
      </c>
      <c r="J5" s="2646">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商业用地26.36年</v>
      </c>
      <c r="N5" s="1811">
        <f>项目基本情况!C22</f>
        <v>279526</v>
      </c>
      <c r="O5" s="1811">
        <f>项目基本情况!C21</f>
        <v>782672.8</v>
      </c>
      <c r="P5" s="1811">
        <f ca="1">结果表!E42</f>
        <v>1038</v>
      </c>
      <c r="Q5" s="1811">
        <f ca="1">结果表!D42</f>
        <v>371</v>
      </c>
      <c r="R5" s="1812">
        <f ca="1">结果表!C42</f>
        <v>29011</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3">
        <f ca="1">结果表!O39</f>
        <v>28728</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3"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2066</v>
      </c>
      <c r="B1" s="3203"/>
      <c r="C1" s="3203"/>
      <c r="D1" s="3203"/>
    </row>
    <row r="2" spans="1:4" ht="47.25" customHeight="1">
      <c r="A2" s="3204" t="str">
        <f>"1.权利限制："&amp;项目基本情况!L24&amp;"未设定租赁等其他他项权利。"</f>
        <v>1.权利限制：根据估价对象《国有土地使用证》原件、，截至估价期日，估价对象抵押权未见登记。未设定租赁等其他他项权利。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2067</v>
      </c>
      <c r="B5" s="3202"/>
      <c r="C5" s="3202"/>
      <c r="D5" s="3202"/>
    </row>
    <row r="6" spans="1:4">
      <c r="A6" s="3203" t="s">
        <v>2045</v>
      </c>
      <c r="B6" s="3203"/>
      <c r="C6" s="3203"/>
      <c r="D6" s="3203"/>
    </row>
    <row r="7" spans="1:4" ht="33" customHeight="1">
      <c r="A7" s="3203" t="s">
        <v>2574</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（1）根据估价对象《国有土地使用证》原件、，截至估价期日，估价对象抵押权未见登记。</v>
      </c>
      <c r="B11" s="3205"/>
      <c r="C11" s="3205"/>
      <c r="D11" s="3205"/>
    </row>
    <row r="12" spans="1:4" ht="168" customHeight="1">
      <c r="A12" s="3202" t="s">
        <v>2069</v>
      </c>
      <c r="B12" s="3202"/>
      <c r="C12" s="3202"/>
      <c r="D12" s="3202"/>
    </row>
    <row r="13" spans="1:4">
      <c r="A13" s="3206" t="s">
        <v>2745</v>
      </c>
      <c r="B13" s="3206"/>
      <c r="C13" s="3206"/>
      <c r="D13" s="3206"/>
    </row>
    <row r="14" spans="1:4">
      <c r="A14" s="3205" t="str">
        <f>IF(项目基本情况!B8="抵押","综上，"&amp;结果表!K47,"——")</f>
        <v>综上，本次评估估价师知悉的法定优先受偿款为人民币283万元整。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2701</v>
      </c>
      <c r="B17" s="3203"/>
      <c r="C17" s="3203"/>
      <c r="D17" s="3203"/>
    </row>
    <row r="18" spans="1:4">
      <c r="A18" s="3203" t="s">
        <v>2693</v>
      </c>
      <c r="B18" s="3203"/>
      <c r="C18" s="3203"/>
      <c r="D18" s="3203"/>
    </row>
    <row r="19" spans="1:4">
      <c r="A19" s="2867" t="s">
        <v>2694</v>
      </c>
      <c r="B19" s="2867" t="s">
        <v>2695</v>
      </c>
      <c r="C19" s="2867" t="s">
        <v>2696</v>
      </c>
      <c r="D19" s="2867" t="s">
        <v>2697</v>
      </c>
    </row>
    <row r="20" spans="1:4">
      <c r="A20" s="2867" t="str">
        <f>项目基本情况!B4</f>
        <v>王鹏</v>
      </c>
      <c r="B20" s="2867">
        <f ca="1">项目基本情况!C4</f>
        <v>2002110030</v>
      </c>
      <c r="C20" s="2869"/>
      <c r="D20" s="1801" t="s">
        <v>2702</v>
      </c>
    </row>
    <row r="21" spans="1:4">
      <c r="A21" s="2867" t="str">
        <f>项目基本情况!D4</f>
        <v>郑燚</v>
      </c>
      <c r="B21" s="2867">
        <f>项目基本情况!E4</f>
        <v>2014110011</v>
      </c>
      <c r="C21" s="2869"/>
      <c r="D21" s="1801" t="s">
        <v>2703</v>
      </c>
    </row>
    <row r="23" spans="1:4">
      <c r="A23" s="3203" t="s">
        <v>2698</v>
      </c>
      <c r="B23" s="3203"/>
      <c r="C23" s="3203"/>
      <c r="D23" s="3203"/>
    </row>
    <row r="24" spans="1:4">
      <c r="A24" s="2867" t="s">
        <v>2694</v>
      </c>
      <c r="B24" s="2867" t="s">
        <v>2699</v>
      </c>
      <c r="C24" s="2867" t="s">
        <v>2696</v>
      </c>
      <c r="D24" s="2867" t="s">
        <v>2697</v>
      </c>
    </row>
    <row r="25" spans="1:4">
      <c r="A25" s="2870" t="s">
        <v>2700</v>
      </c>
      <c r="B25" s="2867" t="s">
        <v>951</v>
      </c>
      <c r="C25" s="2869"/>
      <c r="D25" s="1801" t="s">
        <v>2703</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43425</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5">
        <v>43849</v>
      </c>
      <c r="D4" s="2344" t="s">
        <v>1914</v>
      </c>
      <c r="E4" s="2344">
        <f ca="1">IF(F4&lt;B2,"已过期",96010014)</f>
        <v>96010014</v>
      </c>
      <c r="F4" s="3006">
        <v>47118</v>
      </c>
    </row>
    <row r="5" spans="1:6" ht="20.25" customHeight="1">
      <c r="A5" s="2344" t="s">
        <v>1915</v>
      </c>
      <c r="B5" s="2344">
        <f ca="1">IF(C5&lt;B2,"已过期",1119970074)</f>
        <v>1119970074</v>
      </c>
      <c r="C5" s="3005">
        <v>43849</v>
      </c>
      <c r="D5" s="2344" t="s">
        <v>1915</v>
      </c>
      <c r="E5" s="2344">
        <f ca="1">IF(F5&lt;B2,"已过期",2002110027)</f>
        <v>2002110027</v>
      </c>
      <c r="F5" s="3006">
        <v>46752</v>
      </c>
    </row>
    <row r="6" spans="1:6" ht="20.25" customHeight="1">
      <c r="A6" s="2344" t="s">
        <v>1916</v>
      </c>
      <c r="B6" s="2344">
        <f ca="1">IF(C6&lt;B2,"已过期",1119970111)</f>
        <v>1119970111</v>
      </c>
      <c r="C6" s="3005">
        <v>43849</v>
      </c>
      <c r="D6" s="2344" t="s">
        <v>1916</v>
      </c>
      <c r="E6" s="2344">
        <f ca="1">IF(F6&lt;B2,"已过期",94010078)</f>
        <v>94010078</v>
      </c>
      <c r="F6" s="3006">
        <v>46387</v>
      </c>
    </row>
    <row r="7" spans="1:6" ht="20.25" customHeight="1">
      <c r="A7" s="2344" t="s">
        <v>1917</v>
      </c>
      <c r="B7" s="2344" t="str">
        <f ca="1">IF(C7&lt;B2,"已过期",1120050019)</f>
        <v>已过期</v>
      </c>
      <c r="C7" s="3005">
        <v>43359</v>
      </c>
      <c r="D7" s="2344" t="s">
        <v>1917</v>
      </c>
      <c r="E7" s="2344">
        <f ca="1">IF(F7&lt;B2,"已过期",2002110030)</f>
        <v>2002110030</v>
      </c>
      <c r="F7" s="3006">
        <v>46387</v>
      </c>
    </row>
    <row r="8" spans="1:6" ht="20.25" customHeight="1">
      <c r="A8" s="2344" t="s">
        <v>1918</v>
      </c>
      <c r="B8" s="2344">
        <f ca="1">IF(C8&lt;B2,"已过期",1120000080)</f>
        <v>1120000080</v>
      </c>
      <c r="C8" s="3005">
        <v>43849</v>
      </c>
      <c r="D8" s="2344" t="s">
        <v>1918</v>
      </c>
      <c r="E8" s="2344">
        <f ca="1">IF(F8&lt;B2,"已过期",2000110082)</f>
        <v>2000110082</v>
      </c>
      <c r="F8" s="3006">
        <v>46387</v>
      </c>
    </row>
    <row r="9" spans="1:6" ht="20.25" customHeight="1">
      <c r="A9" s="2344" t="s">
        <v>1919</v>
      </c>
      <c r="B9" s="2344">
        <f ca="1">IF(C9&lt;B2,"已过期",1419970001)</f>
        <v>1419970001</v>
      </c>
      <c r="C9" s="3005">
        <v>43867</v>
      </c>
      <c r="D9" s="2344" t="s">
        <v>1919</v>
      </c>
      <c r="E9" s="2344">
        <f ca="1">IF(F9&lt;B2,"已过期",2002110125)</f>
        <v>2002110125</v>
      </c>
      <c r="F9" s="3006">
        <v>47118</v>
      </c>
    </row>
    <row r="10" spans="1:6" ht="20.25" customHeight="1">
      <c r="A10" s="2344" t="s">
        <v>1920</v>
      </c>
      <c r="B10" s="2344">
        <f ca="1">IF(C10&lt;B2,"已过期",1120060040)</f>
        <v>1120060040</v>
      </c>
      <c r="C10" s="3005">
        <v>43483</v>
      </c>
      <c r="D10" s="2344" t="s">
        <v>1920</v>
      </c>
      <c r="E10" s="2344">
        <f ca="1">IF(F10&lt;B2,"已过期",2004110096)</f>
        <v>2004110096</v>
      </c>
      <c r="F10" s="3006">
        <v>47118</v>
      </c>
    </row>
    <row r="11" spans="1:6" ht="20.25" customHeight="1">
      <c r="A11" s="2344" t="s">
        <v>1921</v>
      </c>
      <c r="B11" s="2344">
        <f ca="1">IF(C11&lt;B2,"已过期",1120100036)</f>
        <v>1120100036</v>
      </c>
      <c r="C11" s="3005">
        <v>43622</v>
      </c>
      <c r="D11" s="2344" t="s">
        <v>1921</v>
      </c>
      <c r="E11" s="2344">
        <f ca="1">IF(F11&lt;B2,"已过期",2010110070)</f>
        <v>2010110070</v>
      </c>
      <c r="F11" s="3006">
        <v>47907</v>
      </c>
    </row>
    <row r="12" spans="1:6" ht="20.25" customHeight="1">
      <c r="A12" s="2344" t="s">
        <v>2977</v>
      </c>
      <c r="B12" s="2344">
        <v>1120110054</v>
      </c>
      <c r="C12" s="3005">
        <v>43937</v>
      </c>
      <c r="D12" s="2344" t="s">
        <v>2977</v>
      </c>
      <c r="E12" s="2344">
        <v>2008110060</v>
      </c>
      <c r="F12" s="3006">
        <v>47177</v>
      </c>
    </row>
    <row r="13" spans="1:6" ht="20.25" customHeight="1">
      <c r="A13" s="2344" t="s">
        <v>1922</v>
      </c>
      <c r="B13" s="2344">
        <f ca="1">IF(C13&lt;B2,"已过期",1120070131)</f>
        <v>1120070131</v>
      </c>
      <c r="C13" s="3005">
        <v>43814</v>
      </c>
      <c r="D13" s="2344" t="s">
        <v>1922</v>
      </c>
      <c r="E13" s="2344">
        <v>2014110011</v>
      </c>
      <c r="F13" s="3006">
        <v>49302</v>
      </c>
    </row>
    <row r="14" spans="1:6" ht="20.25" customHeight="1">
      <c r="A14" s="2344" t="s">
        <v>1923</v>
      </c>
      <c r="B14" s="2344">
        <f ca="1">IF(C14&lt;B2,"已过期",1120130020)</f>
        <v>1120130020</v>
      </c>
      <c r="C14" s="3005">
        <v>43622</v>
      </c>
      <c r="D14" s="2344"/>
      <c r="E14" s="2344"/>
      <c r="F14" s="2344"/>
    </row>
    <row r="15" spans="1:6" ht="20.25" customHeight="1">
      <c r="A15" s="2344" t="s">
        <v>2573</v>
      </c>
      <c r="B15" s="2344">
        <v>1120070085</v>
      </c>
      <c r="C15" s="3005">
        <v>43814</v>
      </c>
      <c r="D15" s="2344" t="s">
        <v>2573</v>
      </c>
      <c r="E15" s="2344">
        <v>2004110128</v>
      </c>
      <c r="F15" s="3006">
        <v>47118</v>
      </c>
    </row>
    <row r="16" spans="1:6" ht="20.25" customHeight="1">
      <c r="A16" s="2344" t="s">
        <v>1924</v>
      </c>
      <c r="B16" s="2344">
        <f ca="1">IF(C16&lt;B2,"已过期",1120140022)</f>
        <v>1120140022</v>
      </c>
      <c r="C16" s="3005">
        <v>44029</v>
      </c>
      <c r="D16" s="2344" t="s">
        <v>1924</v>
      </c>
      <c r="E16" s="2344">
        <f ca="1">IF(F16&lt;B2,"已过期",2008110059)</f>
        <v>2008110059</v>
      </c>
      <c r="F16" s="3006">
        <v>47177</v>
      </c>
    </row>
    <row r="17" spans="1:7" ht="20.25" customHeight="1">
      <c r="A17" s="2344"/>
      <c r="B17" s="2344"/>
      <c r="C17" s="3005"/>
      <c r="D17" s="2344"/>
      <c r="E17" s="2344"/>
      <c r="F17" s="3006"/>
    </row>
    <row r="18" spans="1:7" ht="20.25" customHeight="1">
      <c r="A18" s="2344"/>
      <c r="B18" s="2344"/>
      <c r="C18" s="3005"/>
      <c r="D18" s="2344"/>
      <c r="E18" s="2344"/>
      <c r="F18" s="3006"/>
    </row>
    <row r="19" spans="1:7" ht="20.25" customHeight="1">
      <c r="A19" s="2344"/>
      <c r="B19" s="2344"/>
      <c r="C19" s="3005"/>
      <c r="D19" s="2344"/>
      <c r="E19" s="2344"/>
      <c r="F19" s="2344"/>
    </row>
    <row r="20" spans="1:7" ht="20.25" customHeight="1">
      <c r="A20" s="2344"/>
      <c r="B20" s="2344"/>
      <c r="C20" s="3005"/>
      <c r="D20" s="2344"/>
      <c r="E20" s="2344"/>
      <c r="F20" s="2344"/>
    </row>
    <row r="21" spans="1:7" ht="20.25" customHeight="1">
      <c r="A21" s="2344"/>
      <c r="B21" s="2344"/>
      <c r="C21" s="3005"/>
      <c r="D21" s="2344" t="s">
        <v>1925</v>
      </c>
      <c r="E21" s="2344">
        <f ca="1">IF(F21&lt;B2,"已过期",2011110090)</f>
        <v>2011110090</v>
      </c>
      <c r="F21" s="3006">
        <v>48302</v>
      </c>
    </row>
    <row r="22" spans="1:7" ht="20.25" customHeight="1">
      <c r="A22" s="2344" t="s">
        <v>1926</v>
      </c>
      <c r="B22" s="2344">
        <f ca="1">IF(C22&lt;B2,"已过期",1120020033)</f>
        <v>1120020033</v>
      </c>
      <c r="C22" s="3005">
        <v>44339</v>
      </c>
      <c r="D22" s="2344" t="s">
        <v>1926</v>
      </c>
      <c r="E22" s="2344">
        <f ca="1">IF(F22&lt;B2,"已过期",2000110137)</f>
        <v>2000110137</v>
      </c>
      <c r="F22" s="3006">
        <v>46387</v>
      </c>
    </row>
    <row r="23" spans="1:7" ht="20.25" customHeight="1">
      <c r="A23" s="2344" t="s">
        <v>1927</v>
      </c>
      <c r="B23" s="2344">
        <f ca="1">IF(C23&lt;B2,"已过期",1120130048)</f>
        <v>1120130048</v>
      </c>
      <c r="C23" s="3005">
        <v>43686</v>
      </c>
      <c r="D23" s="2344"/>
      <c r="E23" s="2344"/>
      <c r="F23" s="2344"/>
    </row>
    <row r="24" spans="1:7" s="2348" customFormat="1" ht="20.25" customHeight="1">
      <c r="A24" s="2346" t="s">
        <v>2054</v>
      </c>
      <c r="B24" s="2346" t="s">
        <v>2054</v>
      </c>
      <c r="C24" s="3005"/>
      <c r="D24" s="3007" t="s">
        <v>2054</v>
      </c>
      <c r="E24" s="2346" t="s">
        <v>2054</v>
      </c>
      <c r="F24" s="2347"/>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2" t="s">
        <v>2955</v>
      </c>
      <c r="C18" s="1555"/>
    </row>
    <row r="19" spans="1:3">
      <c r="A19" s="8" t="s">
        <v>120</v>
      </c>
      <c r="B19" s="3112"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c r="D53" s="1768"/>
      <c r="E53" s="1768"/>
    </row>
    <row r="54" spans="1:5">
      <c r="A54" s="322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2018-11-21T07:08:47Z</dcterms:modified>
</cp:coreProperties>
</file>