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 i="12" l="1"/>
  <c r="E8" i="12"/>
  <c r="C8" i="12"/>
  <c r="G7" i="39" l="1"/>
  <c r="G38" i="39"/>
  <c r="G46" i="39"/>
  <c r="I46" i="39"/>
  <c r="E46" i="39"/>
  <c r="I38" i="39"/>
  <c r="E38" i="39"/>
  <c r="C38" i="39"/>
  <c r="I7" i="39"/>
  <c r="E7" i="39"/>
  <c r="G21" i="6" l="1"/>
  <c r="F20" i="6"/>
  <c r="F19" i="6"/>
  <c r="AN13" i="3"/>
  <c r="M13" i="3" l="1"/>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11" i="6"/>
  <c r="E61" i="39" s="1"/>
  <c r="BL17" i="3"/>
  <c r="AZ17" i="3"/>
  <c r="BL13" i="3"/>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L27" i="6" s="1"/>
  <c r="B6" i="1"/>
  <c r="E6"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T11" i="1"/>
  <c r="AQ9" i="1"/>
  <c r="AR11" i="1"/>
  <c r="E30" i="6"/>
  <c r="K15" i="1"/>
  <c r="T9" i="1"/>
  <c r="T13" i="1"/>
  <c r="E237" i="3"/>
  <c r="C77" i="9"/>
  <c r="C74" i="9" s="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P14" i="1" s="1"/>
  <c r="BL5" i="3"/>
  <c r="J59" i="9"/>
  <c r="J61" i="9"/>
  <c r="E320" i="3"/>
  <c r="E167" i="3"/>
  <c r="E542" i="3"/>
  <c r="E487" i="3"/>
  <c r="E374" i="3"/>
  <c r="J6" i="3"/>
  <c r="E419" i="3"/>
  <c r="E401" i="3"/>
  <c r="E26" i="3"/>
  <c r="E104" i="3"/>
  <c r="E41" i="3"/>
  <c r="E115" i="3"/>
  <c r="E198" i="3"/>
  <c r="E139" i="3"/>
  <c r="E225" i="3"/>
  <c r="E281" i="3"/>
  <c r="E243" i="3"/>
  <c r="E332" i="3"/>
  <c r="E391" i="3"/>
  <c r="E356" i="3"/>
  <c r="AL6" i="3"/>
  <c r="E42" i="3"/>
  <c r="E94" i="3"/>
  <c r="E488" i="3"/>
  <c r="E482" i="3"/>
  <c r="E18" i="3"/>
  <c r="E78" i="3"/>
  <c r="E190" i="3"/>
  <c r="E220" i="3"/>
  <c r="E235" i="3"/>
  <c r="E383" i="3"/>
  <c r="E522" i="3"/>
  <c r="E86" i="3"/>
  <c r="E33" i="3"/>
  <c r="E144" i="3"/>
  <c r="E184" i="3"/>
  <c r="E233" i="3"/>
  <c r="E355" i="3"/>
  <c r="E381" i="3"/>
  <c r="E68" i="3"/>
  <c r="E63" i="3"/>
  <c r="E81" i="3"/>
  <c r="E154" i="3"/>
  <c r="E118" i="3"/>
  <c r="E179" i="3"/>
  <c r="E264" i="3"/>
  <c r="E222" i="3"/>
  <c r="E283" i="3"/>
  <c r="E323" i="3"/>
  <c r="E309" i="3"/>
  <c r="E373" i="3"/>
  <c r="E513" i="3"/>
  <c r="E82" i="3"/>
  <c r="E21" i="3"/>
  <c r="R22" i="31"/>
  <c r="B21" i="31"/>
  <c r="O19" i="43"/>
  <c r="C5" i="43"/>
  <c r="E52" i="37"/>
  <c r="E48" i="35"/>
  <c r="F48" i="35"/>
  <c r="E59" i="34"/>
  <c r="C65" i="40"/>
  <c r="D63" i="40"/>
  <c r="B5" i="62"/>
  <c r="B73" i="72"/>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E63" i="40"/>
  <c r="D65" i="40"/>
  <c r="F1" i="67"/>
  <c r="Q52" i="67"/>
  <c r="AC11" i="37"/>
  <c r="W11" i="37"/>
  <c r="W11" i="34"/>
  <c r="AC11" i="34"/>
  <c r="F63" i="40"/>
  <c r="E65" i="40"/>
  <c r="G63" i="40"/>
  <c r="F65" i="40"/>
  <c r="H63" i="40"/>
  <c r="G65" i="40"/>
  <c r="I63" i="40"/>
  <c r="H65" i="40"/>
  <c r="J63" i="40"/>
  <c r="I65" i="40"/>
  <c r="K63" i="40"/>
  <c r="L63" i="40" s="1"/>
  <c r="L65" i="40" s="1"/>
  <c r="J65" i="40"/>
  <c r="K65" i="40"/>
  <c r="M63" i="40"/>
  <c r="M65" i="40" s="1"/>
  <c r="N63" i="40"/>
  <c r="O63" i="40" s="1"/>
  <c r="O65" i="40" s="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U7" i="33" s="1"/>
  <c r="AA7" i="33"/>
  <c r="R48" i="33" s="1"/>
  <c r="H112" i="9"/>
  <c r="D21" i="53"/>
  <c r="B39" i="72"/>
  <c r="H111" i="9"/>
  <c r="D126" i="9"/>
  <c r="D19" i="53"/>
  <c r="D59" i="9"/>
  <c r="M55" i="9"/>
  <c r="B38" i="72"/>
  <c r="D20" i="53"/>
  <c r="B40" i="72"/>
  <c r="I14" i="74"/>
  <c r="B8" i="74"/>
  <c r="D127" i="9"/>
  <c r="D13" i="52"/>
  <c r="D12" i="52"/>
  <c r="AD3" i="71"/>
  <c r="B4" i="62"/>
  <c r="B71" i="72"/>
  <c r="J15" i="67"/>
  <c r="L48" i="67"/>
  <c r="M28" i="15"/>
  <c r="F13" i="67"/>
  <c r="F40" i="67"/>
  <c r="AO6" i="1"/>
  <c r="F37" i="15"/>
  <c r="F7" i="15"/>
  <c r="F42" i="67"/>
  <c r="M9" i="67"/>
  <c r="D2" i="35"/>
  <c r="D4" i="73"/>
  <c r="D6" i="73"/>
  <c r="F36" i="15"/>
  <c r="M26" i="67"/>
  <c r="F5" i="73"/>
  <c r="F9" i="67"/>
  <c r="M6" i="15"/>
  <c r="D2" i="34"/>
  <c r="F8" i="67"/>
  <c r="F8" i="15"/>
  <c r="D5" i="73"/>
  <c r="D2" i="21"/>
  <c r="E11" i="76"/>
  <c r="F6" i="73"/>
  <c r="L47" i="15"/>
  <c r="B12" i="76"/>
  <c r="M23" i="15"/>
  <c r="D3" i="73"/>
  <c r="B8" i="76"/>
  <c r="M27" i="67"/>
  <c r="B9" i="76"/>
  <c r="F26" i="15"/>
  <c r="M8" i="67"/>
  <c r="L48" i="15"/>
  <c r="M29" i="15"/>
  <c r="F7" i="73"/>
  <c r="F20" i="31"/>
  <c r="B7" i="76"/>
  <c r="F41" i="15"/>
  <c r="D2" i="36"/>
  <c r="E7" i="76"/>
  <c r="F3" i="73"/>
  <c r="M29" i="67"/>
  <c r="D7" i="73"/>
  <c r="F4" i="73"/>
  <c r="M24" i="67"/>
  <c r="M21" i="15"/>
  <c r="M21" i="67"/>
  <c r="M24" i="15"/>
  <c r="M22" i="67"/>
  <c r="F26" i="67"/>
  <c r="F36" i="67"/>
  <c r="B11" i="76"/>
  <c r="F7" i="67"/>
  <c r="D2" i="33"/>
  <c r="M27" i="15"/>
  <c r="M6" i="67"/>
  <c r="AO7" i="1"/>
  <c r="J15" i="15"/>
  <c r="E2" i="68"/>
  <c r="M8" i="15"/>
  <c r="F6" i="15"/>
  <c r="C76" i="67"/>
  <c r="B10" i="76"/>
  <c r="F16" i="67"/>
  <c r="D35" i="9"/>
  <c r="E10" i="76"/>
  <c r="F40" i="15"/>
  <c r="E13" i="76"/>
  <c r="AO12" i="1"/>
  <c r="AO13" i="1"/>
  <c r="AO9" i="1"/>
  <c r="M23" i="67"/>
  <c r="C76" i="15"/>
  <c r="L47" i="67"/>
  <c r="M26" i="15"/>
  <c r="E12" i="76"/>
  <c r="M22" i="15"/>
  <c r="E9" i="76"/>
  <c r="D2" i="37"/>
  <c r="F38" i="67"/>
  <c r="D34" i="9"/>
  <c r="E8" i="76"/>
  <c r="F6" i="67"/>
  <c r="F43" i="67"/>
  <c r="F35" i="67"/>
  <c r="M9" i="15"/>
  <c r="AO8" i="1"/>
  <c r="F16" i="15"/>
  <c r="F38" i="15"/>
  <c r="AO11" i="1"/>
  <c r="F35" i="15"/>
  <c r="E2" i="69"/>
  <c r="F37" i="67"/>
  <c r="B13" i="76"/>
  <c r="F13" i="15"/>
  <c r="F41" i="67"/>
  <c r="F43" i="15"/>
  <c r="M28" i="67"/>
  <c r="AO10" i="1"/>
  <c r="F9" i="15"/>
  <c r="F42" i="15"/>
  <c r="D22" i="67" l="1"/>
  <c r="S11" i="39"/>
  <c r="U9" i="39"/>
  <c r="C94" i="9"/>
  <c r="C92" i="9"/>
  <c r="F32" i="15"/>
  <c r="F60" i="15" s="1"/>
  <c r="F31" i="12"/>
  <c r="C31" i="12" s="1"/>
  <c r="F32" i="67"/>
  <c r="F60" i="67" s="1"/>
  <c r="F30" i="11"/>
  <c r="C48" i="11" s="1"/>
  <c r="F54" i="9"/>
  <c r="M18" i="15"/>
  <c r="F30" i="69"/>
  <c r="C48" i="69" s="1"/>
  <c r="F28" i="67"/>
  <c r="C28" i="67" s="1"/>
  <c r="F30" i="68"/>
  <c r="C30" i="68" s="1"/>
  <c r="C13" i="12"/>
  <c r="D68" i="9"/>
  <c r="C30" i="69"/>
  <c r="C48" i="68"/>
  <c r="F28" i="15"/>
  <c r="C28" i="15" s="1"/>
  <c r="M18" i="67"/>
  <c r="F52" i="9"/>
  <c r="C40" i="68"/>
  <c r="C40" i="69"/>
  <c r="D23" i="67"/>
  <c r="C36" i="69"/>
  <c r="C34" i="69"/>
  <c r="C38" i="69" s="1"/>
  <c r="E2" i="70"/>
  <c r="AZ13" i="3"/>
  <c r="AZ5" i="3" s="1"/>
  <c r="E565" i="3"/>
  <c r="AT6" i="3"/>
  <c r="E17" i="3"/>
  <c r="E559" i="3"/>
  <c r="E99" i="3"/>
  <c r="E212" i="3"/>
  <c r="E141" i="3"/>
  <c r="AD6" i="3"/>
  <c r="E552" i="3"/>
  <c r="E464" i="3"/>
  <c r="E398" i="3"/>
  <c r="E459" i="3"/>
  <c r="E556" i="3"/>
  <c r="E497" i="3"/>
  <c r="E13" i="3"/>
  <c r="E494" i="3"/>
  <c r="E452" i="3"/>
  <c r="E470" i="3"/>
  <c r="E420"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49" i="3"/>
  <c r="E123" i="3"/>
  <c r="E206" i="3"/>
  <c r="E147" i="3"/>
  <c r="E232" i="3"/>
  <c r="E289" i="3"/>
  <c r="E251" i="3"/>
  <c r="E340" i="3"/>
  <c r="E370" i="3"/>
  <c r="E364" i="3"/>
  <c r="AF6" i="3"/>
  <c r="E50" i="3"/>
  <c r="E102" i="3"/>
  <c r="E20" i="3"/>
  <c r="E80" i="3"/>
  <c r="E62" i="3"/>
  <c r="E83" i="3"/>
  <c r="E101" i="3"/>
  <c r="E22" i="3"/>
  <c r="E524" i="3"/>
  <c r="E326" i="3"/>
  <c r="E365" i="3"/>
  <c r="E308" i="3"/>
  <c r="E265" i="3"/>
  <c r="E287" i="3"/>
  <c r="E218" i="3"/>
  <c r="E158" i="3"/>
  <c r="E176" i="3"/>
  <c r="E113" i="3"/>
  <c r="E19" i="3"/>
  <c r="E51" i="3"/>
  <c r="Y6" i="3"/>
  <c r="E341" i="3"/>
  <c r="E284" i="3"/>
  <c r="E250" i="3"/>
  <c r="E127" i="3"/>
  <c r="E87" i="3"/>
  <c r="E34" i="3"/>
  <c r="E35" i="3"/>
  <c r="E342" i="3"/>
  <c r="E324" i="3"/>
  <c r="E275" i="3"/>
  <c r="E174" i="3"/>
  <c r="E129" i="3"/>
  <c r="E96" i="3"/>
  <c r="E412" i="3"/>
  <c r="E428" i="3"/>
  <c r="E43" i="3"/>
  <c r="E60" i="3"/>
  <c r="L6" i="3"/>
  <c r="E372" i="3"/>
  <c r="E333" i="3"/>
  <c r="E346" i="3"/>
  <c r="E276" i="3"/>
  <c r="E226" i="3"/>
  <c r="E242" i="3"/>
  <c r="E202" i="3"/>
  <c r="E119" i="3"/>
  <c r="E178" i="3"/>
  <c r="E108" i="3"/>
  <c r="E25" i="3"/>
  <c r="E40" i="3"/>
  <c r="E463" i="3"/>
  <c r="E483" i="3"/>
  <c r="E498" i="3"/>
  <c r="AH6" i="3"/>
  <c r="E416" i="3"/>
  <c r="E421" i="3"/>
  <c r="E312" i="3"/>
  <c r="E149" i="3"/>
  <c r="E157" i="3"/>
  <c r="E336" i="3"/>
  <c r="E454" i="3"/>
  <c r="E433" i="3"/>
  <c r="E496" i="3"/>
  <c r="E471" i="3"/>
  <c r="E468" i="3"/>
  <c r="E450" i="3"/>
  <c r="E429" i="3"/>
  <c r="E537" i="3"/>
  <c r="E577" i="3"/>
  <c r="E571" i="3"/>
  <c r="AE6" i="3"/>
  <c r="W6" i="3"/>
  <c r="E587" i="3"/>
  <c r="I3" i="6"/>
  <c r="E255" i="3"/>
  <c r="E449" i="3"/>
  <c r="E430" i="3"/>
  <c r="E541" i="3"/>
  <c r="E466" i="3"/>
  <c r="E442" i="3"/>
  <c r="E502" i="3"/>
  <c r="R6" i="3"/>
  <c r="E499" i="3"/>
  <c r="E575" i="3"/>
  <c r="E286" i="3"/>
  <c r="E199" i="3"/>
  <c r="E253" i="3"/>
  <c r="E77" i="3"/>
  <c r="E228" i="3"/>
  <c r="E230" i="3"/>
  <c r="V6" i="3"/>
  <c r="E293" i="3"/>
  <c r="E583" i="3"/>
  <c r="E69" i="3"/>
  <c r="E261" i="3"/>
  <c r="E528" i="3"/>
  <c r="E183" i="3"/>
  <c r="E361" i="3"/>
  <c r="E503" i="3"/>
  <c r="E347" i="3"/>
  <c r="AA6" i="3"/>
  <c r="E399" i="3"/>
  <c r="E280" i="3"/>
  <c r="E124" i="3"/>
  <c r="E311" i="3"/>
  <c r="E514" i="3"/>
  <c r="E570" i="3"/>
  <c r="M6" i="3"/>
  <c r="AB6" i="3"/>
  <c r="E387" i="3"/>
  <c r="E335" i="3"/>
  <c r="E215" i="3"/>
  <c r="E189" i="3"/>
  <c r="E15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304" i="3"/>
  <c r="E213" i="3"/>
  <c r="E302" i="3"/>
  <c r="X6" i="3"/>
  <c r="E246" i="3"/>
  <c r="E358" i="3"/>
  <c r="E551" i="3"/>
  <c r="E407" i="3"/>
  <c r="E294" i="3"/>
  <c r="E130" i="3"/>
  <c r="E188" i="3"/>
  <c r="E18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AY6" i="3"/>
  <c r="AY196" i="3" s="1"/>
  <c r="E60" i="40"/>
  <c r="E65" i="39"/>
  <c r="K16" i="1"/>
  <c r="E3" i="6"/>
  <c r="E117" i="3"/>
  <c r="E180" i="3"/>
  <c r="E161" i="3"/>
  <c r="E221" i="3"/>
  <c r="E290" i="3"/>
  <c r="E91" i="3"/>
  <c r="E135" i="3"/>
  <c r="E254" i="3"/>
  <c r="E61" i="3"/>
  <c r="E134"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59" i="40"/>
  <c r="E13"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2" i="6"/>
  <c r="E16"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F27" i="6"/>
  <c r="F31" i="6" s="1"/>
  <c r="E56" i="39"/>
  <c r="E51" i="40"/>
  <c r="D3" i="37"/>
  <c r="L18" i="9"/>
  <c r="C17" i="4"/>
  <c r="E6" i="6"/>
  <c r="D10" i="68" s="1"/>
  <c r="D9" i="69"/>
  <c r="C9" i="69" s="1"/>
  <c r="D9" i="68"/>
  <c r="C9" i="68" s="1"/>
  <c r="D19" i="12"/>
  <c r="C19" i="12" s="1"/>
  <c r="M16" i="1"/>
  <c r="O7" i="1"/>
  <c r="O9" i="1"/>
  <c r="P9" i="1" s="1"/>
  <c r="O12" i="1"/>
  <c r="P12" i="1" s="1"/>
  <c r="O8" i="1"/>
  <c r="P8" i="1" s="1"/>
  <c r="P11" i="1"/>
  <c r="H16" i="1"/>
  <c r="Q16"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F10" i="40" s="1"/>
  <c r="R49" i="33"/>
  <c r="E48" i="33"/>
  <c r="AC7" i="33"/>
  <c r="V48" i="33" s="1"/>
  <c r="I48" i="33" s="1"/>
  <c r="AB7" i="33"/>
  <c r="T48" i="33" s="1"/>
  <c r="G48" i="33" s="1"/>
  <c r="N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C35" i="6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67"/>
  <c r="M17" i="67"/>
  <c r="C14" i="15"/>
  <c r="F31" i="15"/>
  <c r="F59" i="15"/>
  <c r="G1" i="73"/>
  <c r="F31" i="67"/>
  <c r="C16" i="15"/>
  <c r="C17" i="15"/>
  <c r="C16" i="67"/>
  <c r="C17" i="67"/>
  <c r="F59" i="67"/>
  <c r="M17" i="15"/>
  <c r="C30" i="11" l="1"/>
  <c r="AY50" i="3"/>
  <c r="AY67" i="3"/>
  <c r="AY103" i="3"/>
  <c r="AY82"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98" i="3"/>
  <c r="AY18"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6" i="6"/>
  <c r="D26" i="6"/>
  <c r="D8" i="6"/>
  <c r="D10" i="6"/>
  <c r="D29" i="6"/>
  <c r="D14" i="6"/>
  <c r="E58" i="40"/>
  <c r="E63" i="39"/>
  <c r="D13" i="6"/>
  <c r="D3" i="21"/>
  <c r="D3" i="33"/>
  <c r="D14" i="12"/>
  <c r="D3" i="34"/>
  <c r="D19" i="11"/>
  <c r="C19" i="11" s="1"/>
  <c r="C20" i="11" s="1"/>
  <c r="D37" i="11"/>
  <c r="M18" i="9"/>
  <c r="B118" i="9" s="1"/>
  <c r="B14" i="74" s="1"/>
  <c r="B1" i="74" s="1"/>
  <c r="D25" i="6"/>
  <c r="D22" i="6"/>
  <c r="D21" i="6"/>
  <c r="D24" i="6"/>
  <c r="D20" i="6"/>
  <c r="D5" i="6"/>
  <c r="D11" i="6"/>
  <c r="D28" i="6"/>
  <c r="D30" i="6" s="1"/>
  <c r="D23" i="6"/>
  <c r="D9" i="6"/>
  <c r="D19" i="6"/>
  <c r="E27" i="6"/>
  <c r="D22" i="43"/>
  <c r="E57" i="40"/>
  <c r="E62" i="39"/>
  <c r="D12" i="6"/>
  <c r="AC6" i="3"/>
  <c r="E6" i="3" s="1"/>
  <c r="C10" i="68"/>
  <c r="D19" i="68"/>
  <c r="C19" i="68" s="1"/>
  <c r="B4" i="52"/>
  <c r="B43" i="72" s="1"/>
  <c r="D10" i="11"/>
  <c r="C10" i="11" s="1"/>
  <c r="D20" i="12"/>
  <c r="C20" i="12" s="1"/>
  <c r="C18" i="12" s="1"/>
  <c r="D10" i="69"/>
  <c r="C18" i="15"/>
  <c r="C15" i="15"/>
  <c r="F27" i="68"/>
  <c r="F27" i="11"/>
  <c r="F27" i="69"/>
  <c r="F28" i="12"/>
  <c r="C29" i="12" s="1"/>
  <c r="D28" i="12" s="1"/>
  <c r="O16" i="1"/>
  <c r="P7" i="1"/>
  <c r="P16" i="1" s="1"/>
  <c r="C11" i="12" s="1"/>
  <c r="N16" i="1"/>
  <c r="L16"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H10" i="40"/>
  <c r="F10" i="39"/>
  <c r="H10" i="39"/>
  <c r="J10" i="40"/>
  <c r="AA10" i="40"/>
  <c r="S10" i="40"/>
  <c r="E58" i="21"/>
  <c r="F46" i="36"/>
  <c r="G52" i="37"/>
  <c r="G59" i="34"/>
  <c r="G52" i="33"/>
  <c r="H52" i="33" s="1"/>
  <c r="G53" i="33"/>
  <c r="H53" i="33" s="1"/>
  <c r="E53" i="33"/>
  <c r="F53" i="33" s="1"/>
  <c r="E52" i="33"/>
  <c r="F52" i="33" s="1"/>
  <c r="E68" i="39"/>
  <c r="D70" i="39"/>
  <c r="H48" i="35"/>
  <c r="F7" i="40"/>
  <c r="H7" i="40"/>
  <c r="J7" i="40"/>
  <c r="I52" i="33"/>
  <c r="J52" i="33" s="1"/>
  <c r="I53" i="33"/>
  <c r="J53" i="33" s="1"/>
  <c r="C48" i="33"/>
  <c r="C49" i="33"/>
  <c r="B2" i="33" s="1"/>
  <c r="B3" i="33" s="1"/>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34" i="11" l="1"/>
  <c r="C37" i="11" s="1"/>
  <c r="F34" i="68"/>
  <c r="F11" i="12"/>
  <c r="C23" i="12" s="1"/>
  <c r="D37" i="68"/>
  <c r="C19" i="15"/>
  <c r="C20" i="15" s="1"/>
  <c r="C26" i="15" s="1"/>
  <c r="E66" i="39"/>
  <c r="D27" i="6"/>
  <c r="D31" i="6" s="1"/>
  <c r="I6" i="6" s="1"/>
  <c r="M19" i="9"/>
  <c r="C118" i="9" s="1"/>
  <c r="C14" i="74" s="1"/>
  <c r="B2" i="74" s="1"/>
  <c r="E61" i="40"/>
  <c r="C18" i="4"/>
  <c r="L19" i="9"/>
  <c r="D15" i="6"/>
  <c r="D16" i="6" s="1"/>
  <c r="C8" i="74"/>
  <c r="C7" i="74"/>
  <c r="D17" i="12"/>
  <c r="C17" i="12" s="1"/>
  <c r="K24" i="6"/>
  <c r="M24" i="6" s="1"/>
  <c r="I24" i="6" s="1"/>
  <c r="K22" i="6"/>
  <c r="M22" i="6" s="1"/>
  <c r="I22" i="6" s="1"/>
  <c r="E31" i="6"/>
  <c r="I5" i="6" s="1"/>
  <c r="K19" i="6"/>
  <c r="S6" i="1" s="1"/>
  <c r="K20" i="6"/>
  <c r="K26" i="6"/>
  <c r="M26" i="6" s="1"/>
  <c r="I26" i="6" s="1"/>
  <c r="K23" i="6"/>
  <c r="M23" i="6" s="1"/>
  <c r="I23" i="6" s="1"/>
  <c r="K21" i="6"/>
  <c r="K25" i="6"/>
  <c r="M25" i="6" s="1"/>
  <c r="I25" i="6" s="1"/>
  <c r="C10" i="69"/>
  <c r="C8" i="69" s="1"/>
  <c r="C5" i="69" s="1"/>
  <c r="D19" i="69"/>
  <c r="F50" i="11"/>
  <c r="F50" i="68"/>
  <c r="F50" i="69"/>
  <c r="C15" i="12"/>
  <c r="C12" i="12"/>
  <c r="C47" i="69"/>
  <c r="D45" i="69" s="1"/>
  <c r="C29" i="69"/>
  <c r="D27" i="69" s="1"/>
  <c r="C29" i="68"/>
  <c r="D27" i="68" s="1"/>
  <c r="C47" i="68"/>
  <c r="D45" i="68" s="1"/>
  <c r="C47" i="11"/>
  <c r="D45" i="11" s="1"/>
  <c r="C29" i="11"/>
  <c r="D27" i="11" s="1"/>
  <c r="C28" i="11"/>
  <c r="C27" i="11" s="1"/>
  <c r="C115" i="43"/>
  <c r="D113" i="43" s="1"/>
  <c r="S2" i="43"/>
  <c r="C23" i="43"/>
  <c r="C21" i="43" s="1"/>
  <c r="S7" i="43"/>
  <c r="S3" i="43"/>
  <c r="S5" i="43"/>
  <c r="S4" i="43"/>
  <c r="S6" i="43"/>
  <c r="AC10" i="39"/>
  <c r="U10" i="39"/>
  <c r="AB10" i="39"/>
  <c r="W10" i="40"/>
  <c r="AC10" i="40"/>
  <c r="S10" i="39"/>
  <c r="AA10" i="39"/>
  <c r="U10" i="40"/>
  <c r="AB10" i="40"/>
  <c r="W7" i="40"/>
  <c r="AC7" i="40"/>
  <c r="V42" i="40" s="1"/>
  <c r="I42" i="40" s="1"/>
  <c r="S7" i="40"/>
  <c r="AA7" i="40"/>
  <c r="R42" i="40" s="1"/>
  <c r="I48" i="35"/>
  <c r="F68" i="39"/>
  <c r="E70" i="39"/>
  <c r="H52" i="37"/>
  <c r="U7" i="40"/>
  <c r="AB7" i="40"/>
  <c r="T42" i="40" s="1"/>
  <c r="G42" i="40" s="1"/>
  <c r="H59" i="34"/>
  <c r="G46" i="36"/>
  <c r="F58" i="21"/>
  <c r="G58" i="21" s="1"/>
  <c r="H58" i="21" s="1"/>
  <c r="I58" i="21" s="1"/>
  <c r="J58" i="21" s="1"/>
  <c r="K58" i="21" s="1"/>
  <c r="L58" i="21" s="1"/>
  <c r="M58" i="21" s="1"/>
  <c r="N58" i="21" s="1"/>
  <c r="O58" i="21" s="1"/>
  <c r="J7" i="21"/>
  <c r="H7" i="2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7" i="68" l="1"/>
  <c r="C14" i="12"/>
  <c r="C16" i="12" s="1"/>
  <c r="C21" i="12" s="1"/>
  <c r="C36" i="68"/>
  <c r="C34" i="68"/>
  <c r="C36" i="11"/>
  <c r="C34" i="11"/>
  <c r="M21" i="6"/>
  <c r="I21" i="6" s="1"/>
  <c r="S8" i="1"/>
  <c r="AQ6" i="1"/>
  <c r="AR6" i="1"/>
  <c r="T6" i="1"/>
  <c r="M20" i="6"/>
  <c r="I20" i="6" s="1"/>
  <c r="S7" i="1"/>
  <c r="S16" i="1" s="1"/>
  <c r="C4" i="52"/>
  <c r="B45" i="72" s="1"/>
  <c r="A10" i="51"/>
  <c r="B9" i="72" s="1"/>
  <c r="A7" i="51"/>
  <c r="B7" i="72" s="1"/>
  <c r="D7" i="74"/>
  <c r="D8" i="74"/>
  <c r="S25" i="6"/>
  <c r="H25" i="6"/>
  <c r="R25" i="6" s="1"/>
  <c r="H23" i="6"/>
  <c r="R23" i="6" s="1"/>
  <c r="S23" i="6"/>
  <c r="S20" i="6"/>
  <c r="H20" i="6"/>
  <c r="R20" i="6" s="1"/>
  <c r="R7" i="1" s="1"/>
  <c r="H24" i="6"/>
  <c r="R24" i="6" s="1"/>
  <c r="S24" i="6"/>
  <c r="H21" i="6"/>
  <c r="R21" i="6" s="1"/>
  <c r="R8" i="1" s="1"/>
  <c r="S21" i="6"/>
  <c r="H26" i="6"/>
  <c r="R26" i="6" s="1"/>
  <c r="S26" i="6"/>
  <c r="M19" i="6"/>
  <c r="K27" i="6"/>
  <c r="H22" i="6"/>
  <c r="R22" i="6" s="1"/>
  <c r="S22" i="6"/>
  <c r="C19" i="69"/>
  <c r="C20" i="69" s="1"/>
  <c r="D37" i="69"/>
  <c r="C37" i="69" s="1"/>
  <c r="C33" i="69" s="1"/>
  <c r="C39" i="69" s="1"/>
  <c r="C46" i="69" s="1"/>
  <c r="C45" i="69" s="1"/>
  <c r="AC7" i="21"/>
  <c r="V48" i="21" s="1"/>
  <c r="I48" i="21" s="1"/>
  <c r="W7" i="21"/>
  <c r="G46" i="40"/>
  <c r="H46" i="40" s="1"/>
  <c r="G47" i="40"/>
  <c r="H47" i="40" s="1"/>
  <c r="E42" i="40"/>
  <c r="I47" i="40" s="1"/>
  <c r="J47" i="40" s="1"/>
  <c r="R43" i="40"/>
  <c r="I46" i="40"/>
  <c r="J46" i="40" s="1"/>
  <c r="F7" i="21"/>
  <c r="AB7" i="21"/>
  <c r="T48" i="21" s="1"/>
  <c r="G48" i="21" s="1"/>
  <c r="U7" i="21"/>
  <c r="H46" i="36"/>
  <c r="I59" i="34"/>
  <c r="I52"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22" i="12" l="1"/>
  <c r="C30" i="12" s="1"/>
  <c r="C28" i="12" s="1"/>
  <c r="C24" i="69"/>
  <c r="C38" i="11"/>
  <c r="C35" i="11"/>
  <c r="C38" i="68"/>
  <c r="C35" i="68"/>
  <c r="C43" i="69"/>
  <c r="C42" i="69"/>
  <c r="T7" i="1"/>
  <c r="T16" i="1" s="1"/>
  <c r="AQ7" i="1"/>
  <c r="AR7" i="1"/>
  <c r="AR8" i="1"/>
  <c r="AQ8" i="1"/>
  <c r="T8" i="1"/>
  <c r="I19" i="6"/>
  <c r="M27" i="6"/>
  <c r="C28" i="69"/>
  <c r="C27" i="69" s="1"/>
  <c r="C25" i="69"/>
  <c r="C22" i="69" s="1"/>
  <c r="K48" i="35"/>
  <c r="G70" i="39"/>
  <c r="H68" i="39"/>
  <c r="J59" i="34"/>
  <c r="I46" i="36"/>
  <c r="G52" i="21"/>
  <c r="H52" i="21" s="1"/>
  <c r="G53" i="21"/>
  <c r="H53" i="21" s="1"/>
  <c r="C43" i="40"/>
  <c r="C42" i="40"/>
  <c r="J52" i="37"/>
  <c r="S7" i="21"/>
  <c r="AA7" i="21"/>
  <c r="R48" i="21" s="1"/>
  <c r="E47" i="40"/>
  <c r="F47" i="40" s="1"/>
  <c r="E46" i="40"/>
  <c r="F46" i="40" s="1"/>
  <c r="I52" i="21"/>
  <c r="J52"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27" i="12" l="1"/>
  <c r="C25" i="12" s="1"/>
  <c r="C32" i="12" s="1"/>
  <c r="B2" i="12" s="1"/>
  <c r="B3" i="12" s="1"/>
  <c r="C33" i="68"/>
  <c r="C39" i="68" s="1"/>
  <c r="C43" i="68" s="1"/>
  <c r="C33" i="11"/>
  <c r="C41" i="69"/>
  <c r="C49" i="69" s="1"/>
  <c r="C51" i="69" s="1"/>
  <c r="C31" i="69"/>
  <c r="I27" i="6"/>
  <c r="S19" i="6"/>
  <c r="S27" i="6" s="1"/>
  <c r="H19" i="6"/>
  <c r="E48" i="21"/>
  <c r="R49" i="2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J46" i="36"/>
  <c r="K59" i="34"/>
  <c r="K52" i="37"/>
  <c r="L52" i="37" s="1"/>
  <c r="M52" i="37" s="1"/>
  <c r="N52" i="37" s="1"/>
  <c r="O52" i="37" s="1"/>
  <c r="H7" i="37" s="1"/>
  <c r="F7" i="37"/>
  <c r="I68" i="39"/>
  <c r="H70" i="39"/>
  <c r="L48" i="35"/>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D19" i="9"/>
  <c r="B6" i="76"/>
  <c r="D20" i="9"/>
  <c r="D21" i="9" l="1"/>
  <c r="D102" i="9"/>
  <c r="D103" i="9"/>
  <c r="C42" i="68"/>
  <c r="C41" i="68" s="1"/>
  <c r="C39" i="11"/>
  <c r="C42" i="11"/>
  <c r="C46" i="68"/>
  <c r="C45" i="68" s="1"/>
  <c r="C52" i="69"/>
  <c r="B2" i="69" s="1"/>
  <c r="B3" i="69" s="1"/>
  <c r="H27" i="6"/>
  <c r="R19" i="6"/>
  <c r="U7" i="37"/>
  <c r="AB7" i="37"/>
  <c r="T42" i="37" s="1"/>
  <c r="G42" i="37" s="1"/>
  <c r="S7" i="37"/>
  <c r="AA7" i="37"/>
  <c r="R42" i="37" s="1"/>
  <c r="K46" i="36"/>
  <c r="J7" i="37"/>
  <c r="E52" i="21"/>
  <c r="F52" i="21" s="1"/>
  <c r="E53" i="21"/>
  <c r="F53" i="21" s="1"/>
  <c r="I53" i="21"/>
  <c r="J53" i="21" s="1"/>
  <c r="M48" i="35"/>
  <c r="J68" i="39"/>
  <c r="I70" i="39"/>
  <c r="L59" i="34"/>
  <c r="C48" i="21"/>
  <c r="C49" i="21"/>
  <c r="B2" i="21" s="1"/>
  <c r="B3" i="21" s="1"/>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15"/>
  <c r="L51" i="67"/>
  <c r="C49" i="68" l="1"/>
  <c r="C51" i="68" s="1"/>
  <c r="C46" i="11"/>
  <c r="C45" i="11" s="1"/>
  <c r="C43" i="11"/>
  <c r="C41" i="11" s="1"/>
  <c r="R27" i="6"/>
  <c r="R6" i="1"/>
  <c r="R16" i="1" s="1"/>
  <c r="M59" i="34"/>
  <c r="K68" i="39"/>
  <c r="J70" i="39"/>
  <c r="N48" i="35"/>
  <c r="AC7" i="37"/>
  <c r="V42" i="37" s="1"/>
  <c r="I42" i="37" s="1"/>
  <c r="W7" i="37"/>
  <c r="L46" i="36"/>
  <c r="G46" i="37"/>
  <c r="H46" i="37" s="1"/>
  <c r="G47" i="37"/>
  <c r="H47" i="37" s="1"/>
  <c r="E42" i="37"/>
  <c r="R43" i="37"/>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49" i="11" l="1"/>
  <c r="C51" i="11" s="1"/>
  <c r="C52" i="11" s="1"/>
  <c r="B2" i="11" s="1"/>
  <c r="B3" i="11" s="1"/>
  <c r="C43" i="37"/>
  <c r="B2" i="37" s="1"/>
  <c r="B3" i="37" s="1"/>
  <c r="C42" i="37"/>
  <c r="E47" i="37"/>
  <c r="F47" i="37" s="1"/>
  <c r="E46" i="37"/>
  <c r="F46" i="37" s="1"/>
  <c r="M46" i="36"/>
  <c r="I47" i="37"/>
  <c r="J47" i="37" s="1"/>
  <c r="I46" i="37"/>
  <c r="J46" i="37" s="1"/>
  <c r="O48" i="35"/>
  <c r="F7" i="35"/>
  <c r="L68" i="39"/>
  <c r="K70" i="39"/>
  <c r="N59" i="34"/>
  <c r="Q57" i="15"/>
  <c r="Q66" i="15"/>
  <c r="Q75" i="15" s="1"/>
  <c r="Q66" i="67"/>
  <c r="Q75" i="67" s="1"/>
  <c r="Q57" i="67"/>
  <c r="Q62" i="67" s="1"/>
  <c r="Q62" i="15"/>
  <c r="B2" i="67"/>
  <c r="B3" i="67"/>
  <c r="C56" i="11" l="1"/>
  <c r="C57" i="11" s="1"/>
  <c r="S7" i="35"/>
  <c r="AA7" i="35"/>
  <c r="R38" i="35" s="1"/>
  <c r="O59" i="34"/>
  <c r="H7" i="34"/>
  <c r="M68" i="39"/>
  <c r="L70" i="39"/>
  <c r="H7" i="35"/>
  <c r="J7" i="35"/>
  <c r="N46" i="36"/>
  <c r="O46" i="36" s="1"/>
  <c r="J7" i="36"/>
  <c r="AC7" i="35" l="1"/>
  <c r="V38" i="35" s="1"/>
  <c r="I38" i="35" s="1"/>
  <c r="W7" i="35"/>
  <c r="U7" i="34"/>
  <c r="AB7" i="34"/>
  <c r="T49" i="34" s="1"/>
  <c r="G49" i="34" s="1"/>
  <c r="E38" i="35"/>
  <c r="R39" i="35"/>
  <c r="W7" i="36"/>
  <c r="AC7" i="36"/>
  <c r="V36" i="36" s="1"/>
  <c r="I36" i="36" s="1"/>
  <c r="F7" i="36"/>
  <c r="H7" i="36"/>
  <c r="AB7" i="35"/>
  <c r="T38" i="35" s="1"/>
  <c r="G38" i="35" s="1"/>
  <c r="U7" i="35"/>
  <c r="N68" i="39"/>
  <c r="M70" i="39"/>
  <c r="J7" i="34"/>
  <c r="F7" i="34"/>
  <c r="AC7" i="34" l="1"/>
  <c r="V49" i="34" s="1"/>
  <c r="I49" i="34" s="1"/>
  <c r="W7" i="34"/>
  <c r="S7" i="34"/>
  <c r="AA7" i="34"/>
  <c r="R49" i="34" s="1"/>
  <c r="AB7" i="36"/>
  <c r="T36" i="36" s="1"/>
  <c r="G36" i="36" s="1"/>
  <c r="U7" i="36"/>
  <c r="I40" i="36"/>
  <c r="J40" i="36" s="1"/>
  <c r="C39" i="35"/>
  <c r="B2" i="35" s="1"/>
  <c r="B3" i="35" s="1"/>
  <c r="C38" i="35"/>
  <c r="G53" i="34"/>
  <c r="H53" i="34" s="1"/>
  <c r="G54" i="34"/>
  <c r="H54" i="34" s="1"/>
  <c r="O68" i="39"/>
  <c r="O70" i="39" s="1"/>
  <c r="N70" i="39"/>
  <c r="G42" i="35"/>
  <c r="H42" i="35" s="1"/>
  <c r="G43" i="35"/>
  <c r="H43" i="35" s="1"/>
  <c r="S7" i="36"/>
  <c r="AA7" i="36"/>
  <c r="R36" i="36" s="1"/>
  <c r="E43" i="35"/>
  <c r="F43" i="35" s="1"/>
  <c r="E42" i="35"/>
  <c r="F42" i="35" s="1"/>
  <c r="I42" i="35"/>
  <c r="J42" i="35" s="1"/>
  <c r="I43" i="35"/>
  <c r="J43" i="35" s="1"/>
  <c r="E36" i="36" l="1"/>
  <c r="R37" i="36"/>
  <c r="R50" i="34"/>
  <c r="E49" i="34"/>
  <c r="F7" i="39"/>
  <c r="H7" i="39"/>
  <c r="J7" i="39"/>
  <c r="G40" i="36"/>
  <c r="H40" i="36" s="1"/>
  <c r="G41" i="36"/>
  <c r="H41" i="36" s="1"/>
  <c r="I53" i="34"/>
  <c r="J53" i="34" s="1"/>
  <c r="I54" i="34"/>
  <c r="J54" i="34" s="1"/>
  <c r="AC7" i="39" l="1"/>
  <c r="V47" i="39" s="1"/>
  <c r="I47" i="39" s="1"/>
  <c r="W7" i="39"/>
  <c r="AB7" i="39"/>
  <c r="T47" i="39" s="1"/>
  <c r="G47" i="39" s="1"/>
  <c r="U7" i="39"/>
  <c r="E54" i="34"/>
  <c r="F54" i="34" s="1"/>
  <c r="E53" i="34"/>
  <c r="F53" i="34" s="1"/>
  <c r="C36" i="36"/>
  <c r="C37" i="36"/>
  <c r="B2" i="36" s="1"/>
  <c r="B3" i="36" s="1"/>
  <c r="S7" i="39"/>
  <c r="AA7" i="39"/>
  <c r="R47" i="39" s="1"/>
  <c r="C49" i="34"/>
  <c r="C50" i="34"/>
  <c r="B2" i="34" s="1"/>
  <c r="B3" i="34" s="1"/>
  <c r="E40" i="36"/>
  <c r="F40" i="36" s="1"/>
  <c r="E41" i="36"/>
  <c r="F41" i="36" s="1"/>
  <c r="I41" i="36"/>
  <c r="J41" i="36" s="1"/>
  <c r="E47" i="39" l="1"/>
  <c r="I52" i="39" s="1"/>
  <c r="J52" i="39" s="1"/>
  <c r="R48" i="39"/>
  <c r="G52" i="39"/>
  <c r="H52" i="39" s="1"/>
  <c r="G51" i="39"/>
  <c r="H51" i="39" s="1"/>
  <c r="I51" i="39"/>
  <c r="J51" i="39" s="1"/>
  <c r="C48" i="39" l="1"/>
  <c r="C47" i="39"/>
  <c r="E51" i="39"/>
  <c r="F51" i="39" s="1"/>
  <c r="E52" i="39"/>
  <c r="F52" i="39" s="1"/>
  <c r="B56" i="39" l="1"/>
  <c r="F56" i="39" s="1"/>
  <c r="B60" i="39"/>
  <c r="F60" i="39" s="1"/>
  <c r="B58" i="39"/>
  <c r="F58" i="39" s="1"/>
  <c r="B64" i="39"/>
  <c r="F64" i="39" s="1"/>
  <c r="B57" i="39"/>
  <c r="F57" i="39" s="1"/>
  <c r="B62" i="39"/>
  <c r="F62" i="39" s="1"/>
  <c r="B61" i="39"/>
  <c r="F61"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G19" i="9" l="1"/>
  <c r="G21" i="9" s="1"/>
  <c r="C102" i="9"/>
  <c r="D22" i="9"/>
  <c r="C21" i="9"/>
  <c r="B3" i="68"/>
  <c r="C20" i="9"/>
  <c r="C32" i="9" l="1"/>
  <c r="H118" i="9" s="1"/>
  <c r="C103" i="9"/>
  <c r="G20" i="9"/>
  <c r="C35" i="9" l="1"/>
  <c r="F118" i="9" s="1"/>
  <c r="F4" i="52" s="1"/>
  <c r="B51" i="72" s="1"/>
  <c r="C104" i="9"/>
  <c r="D14" i="74"/>
  <c r="H101" i="9"/>
  <c r="H119" i="9"/>
  <c r="H5" i="52" s="1"/>
  <c r="I118" i="9"/>
  <c r="H4" i="52"/>
  <c r="G118" i="9" l="1"/>
  <c r="G4" i="52" s="1"/>
  <c r="B52" i="72" s="1"/>
  <c r="F119" i="9"/>
  <c r="F5" i="52" s="1"/>
  <c r="B53" i="72" s="1"/>
  <c r="C34" i="9"/>
  <c r="D118" i="9" s="1"/>
  <c r="I4" i="52"/>
  <c r="C105" i="9"/>
  <c r="H102" i="9"/>
  <c r="D7" i="53" s="1"/>
  <c r="B21" i="72" s="1"/>
  <c r="H107" i="9"/>
  <c r="M48" i="9"/>
  <c r="D45" i="9"/>
  <c r="D5" i="53"/>
  <c r="F14" i="74"/>
  <c r="B5" i="74"/>
  <c r="E14" i="74"/>
  <c r="E118" i="9" l="1"/>
  <c r="E4" i="52" s="1"/>
  <c r="B48" i="72" s="1"/>
  <c r="D4" i="52"/>
  <c r="B47" i="72" s="1"/>
  <c r="D119" i="9"/>
  <c r="D5" i="52" s="1"/>
  <c r="B49" i="72" s="1"/>
  <c r="C5" i="74"/>
  <c r="D5" i="74"/>
  <c r="D6" i="53"/>
  <c r="B22" i="72" s="1"/>
  <c r="B20" i="72"/>
  <c r="C64" i="9"/>
  <c r="C63" i="9" s="1"/>
  <c r="C67" i="9" s="1"/>
  <c r="C68" i="9" s="1"/>
  <c r="D54" i="9" s="1"/>
  <c r="C85" i="9"/>
  <c r="D55" i="9"/>
  <c r="M53" i="9" s="1"/>
  <c r="C78" i="9"/>
  <c r="C73" i="9" s="1"/>
  <c r="D52" i="9"/>
  <c r="C72" i="9"/>
  <c r="C93" i="9"/>
  <c r="C86" i="9" s="1"/>
  <c r="D53" i="9"/>
  <c r="H108" i="9"/>
  <c r="D15" i="53" s="1"/>
  <c r="B31" i="72" s="1"/>
  <c r="D13" i="53"/>
  <c r="D122" i="9"/>
  <c r="C79" i="9" l="1"/>
  <c r="C80" i="9" s="1"/>
  <c r="E80" i="9" s="1"/>
  <c r="E81" i="9" s="1"/>
  <c r="B30" i="72"/>
  <c r="D14" i="53"/>
  <c r="B32" i="72" s="1"/>
  <c r="C95" i="9"/>
  <c r="G14" i="74"/>
  <c r="B6" i="74" s="1"/>
  <c r="D123" i="9"/>
  <c r="D9" i="52" s="1"/>
  <c r="D8" i="52"/>
  <c r="D6" i="74" l="1"/>
  <c r="C6" i="74"/>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<sst xmlns="http://schemas.openxmlformats.org/spreadsheetml/2006/main" count="7542" uniqueCount="3146">
  <si>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</si>
  <si>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</si>
  <si>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</si>
  <si>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</si>
  <si>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</si>
  <si>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</si>
  <si>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</si>
  <si>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</si>
  <si>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</si>
  <si>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</si>
  <si>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</si>
  <si>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</si>
  <si>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</si>
  <si>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</si>
  <si>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</si>
  <si>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</si>
  <si>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</si>
  <si>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</si>
  <si>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</si>
  <si>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</si>
  <si>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</si>
  <si>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</si>
  <si>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</si>
  <si>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</si>
  <si>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</si>
  <si>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</si>
  <si>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</si>
  <si>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</si>
  <si>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</si>
  <si>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</si>
  <si>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</si>
  <si>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</si>
  <si>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</si>
  <si>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</si>
  <si>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</si>
  <si>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</si>
  <si>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</si>
  <si>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</si>
  <si>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</si>
  <si>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</si>
  <si>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</si>
  <si>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</si>
  <si>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</si>
  <si>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</si>
  <si>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</si>
  <si>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</si>
  <si>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</si>
  <si>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</si>
  <si>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</si>
  <si>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</si>
  <si>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</si>
  <si>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</si>
  <si>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</si>
  <si>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</si>
  <si>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</si>
  <si>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</si>
  <si>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</si>
  <si>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</si>
  <si>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</si>
  <si>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</si>
  <si>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</si>
  <si>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</si>
  <si>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</si>
  <si>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</si>
  <si>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</si>
  <si>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</si>
  <si>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</si>
  <si>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</si>
  <si>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</si>
  <si>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</si>
  <si>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</si>
  <si>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</si>
  <si>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</si>
  <si>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</si>
  <si>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</si>
  <si>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</si>
  <si>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</si>
  <si>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</si>
  <si>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</si>
  <si>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</si>
  <si>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</si>
  <si>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</si>
  <si>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</si>
  <si>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</si>
  <si>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</si>
  <si>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</si>
  <si>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</si>
  <si>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</si>
  <si>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</si>
  <si>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</si>
  <si>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</si>
  <si>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</si>
  <si>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</si>
  <si>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</si>
  <si>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</si>
  <si>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</si>
  <si>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</si>
  <si>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</si>
  <si>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</si>
  <si>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</si>
  <si>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</si>
  <si>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</si>
  <si>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</si>
  <si>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</si>
  <si>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</si>
  <si>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</si>
  <si>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</si>
  <si>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</si>
  <si>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</si>
  <si>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</si>
  <si>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</si>
  <si>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</si>
  <si>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</si>
  <si>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</si>
  <si>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</si>
  <si>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</si>
  <si>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</si>
  <si>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</si>
  <si>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</si>
  <si>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</si>
  <si>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</si>
  <si>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</si>
  <si>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</si>
  <si>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</si>
  <si>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</si>
  <si>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</si>
  <si>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</si>
  <si>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</si>
  <si>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</si>
  <si>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</si>
  <si>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</si>
  <si>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</si>
  <si>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</si>
  <si>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</si>
  <si>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</si>
  <si>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</si>
  <si>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</si>
  <si>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</si>
  <si>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</si>
  <si>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</si>
  <si>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</si>
  <si>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</si>
  <si>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</si>
  <si>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</si>
  <si>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</si>
  <si>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</si>
  <si>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</si>
  <si>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</si>
  <si>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</si>
  <si>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</si>
  <si>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</si>
  <si>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</si>
  <si>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</si>
  <si>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</si>
  <si>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</si>
  <si>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</si>
  <si>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</si>
  <si>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</si>
  <si>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</si>
  <si>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</si>
  <si>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</si>
  <si>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</si>
  <si>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</si>
  <si>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</si>
  <si>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</si>
  <si>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</si>
  <si>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</si>
  <si>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</si>
  <si>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</si>
  <si>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</si>
  <si>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</si>
  <si>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</si>
  <si>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</si>
  <si>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</si>
  <si>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</si>
  <si>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</si>
  <si>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</si>
  <si>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</si>
  <si>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</si>
  <si>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</si>
  <si>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</si>
  <si>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</si>
  <si>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</si>
  <si>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</si>
  <si>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</si>
  <si>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</si>
  <si>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</si>
  <si>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</si>
  <si>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</si>
  <si>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</si>
  <si>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</si>
  <si>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</si>
  <si>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</si>
  <si>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</si>
  <si>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</si>
  <si>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</si>
  <si>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</si>
  <si>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</si>
  <si>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</si>
  <si>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</si>
  <si>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</si>
  <si>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</si>
  <si>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</si>
  <si>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</si>
  <si>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</si>
  <si>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</si>
  <si>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</si>
  <si>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</si>
  <si>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</si>
  <si>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</si>
  <si>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</si>
  <si>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</si>
  <si>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</si>
  <si>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</si>
  <si>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</si>
  <si>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</si>
  <si>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</si>
  <si>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</si>
  <si>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</si>
  <si>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</si>
  <si>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</si>
  <si>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</si>
  <si>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</si>
  <si>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</si>
  <si>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</si>
  <si>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</si>
  <si>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</si>
  <si>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</si>
  <si>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</si>
  <si>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</si>
  <si>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</si>
  <si>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</si>
  <si>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</si>
  <si>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</si>
  <si>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</si>
  <si>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</si>
  <si>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</si>
  <si>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</si>
  <si>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</si>
  <si>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</si>
  <si>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</si>
  <si>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</si>
  <si>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</si>
  <si>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</si>
  <si>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</si>
  <si>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</si>
  <si>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</si>
  <si>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</si>
  <si>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</si>
  <si>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</si>
  <si>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</si>
  <si>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</si>
  <si>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</si>
  <si>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</si>
  <si>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</si>
  <si>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</si>
  <si>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</si>
  <si>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</si>
  <si>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</si>
  <si>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</si>
  <si>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</si>
  <si>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</si>
  <si>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</si>
  <si>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</si>
  <si>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</si>
  <si>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</si>
  <si>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</si>
  <si>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</si>
  <si>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</si>
  <si>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</si>
  <si>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</si>
  <si>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</si>
  <si>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</si>
  <si>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</si>
  <si>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</si>
  <si>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</si>
  <si>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</si>
  <si>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</si>
  <si>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</si>
  <si>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</si>
  <si>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</si>
  <si>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</si>
  <si>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</si>
  <si>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</si>
  <si>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</si>
  <si>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</si>
  <si>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</si>
  <si>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</si>
  <si>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</si>
  <si>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</si>
  <si>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</si>
  <si>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</si>
  <si>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</si>
  <si>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</si>
  <si>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</si>
  <si>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</si>
  <si>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</si>
  <si>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</si>
  <si>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</si>
  <si>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</si>
  <si>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</si>
  <si>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</si>
  <si>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</si>
  <si>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</si>
  <si>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</si>
  <si>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</si>
  <si>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</si>
  <si>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</si>
  <si>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</si>
  <si>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</si>
  <si>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</si>
  <si>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</si>
  <si>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</si>
  <si>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</si>
  <si>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</si>
  <si>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</si>
  <si>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</si>
  <si>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</si>
  <si>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</si>
  <si>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</si>
  <si>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</si>
  <si>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</si>
  <si>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</si>
  <si>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</si>
  <si>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</si>
  <si>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</si>
  <si>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</si>
  <si>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</si>
  <si>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</si>
  <si>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</si>
  <si>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</si>
  <si>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</si>
  <si>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</si>
  <si>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</si>
  <si>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</si>
  <si>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</si>
  <si>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</si>
  <si>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</si>
  <si>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</si>
  <si>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</si>
  <si>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</si>
  <si>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</si>
  <si>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</si>
  <si>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</si>
  <si>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</si>
  <si>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</si>
  <si>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</si>
  <si>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</si>
  <si>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</si>
  <si>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</si>
  <si>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</si>
  <si>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</si>
  <si>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</si>
  <si>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</si>
  <si>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</si>
  <si>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</si>
  <si>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</si>
  <si>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</si>
  <si>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</si>
  <si>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</si>
  <si>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</si>
  <si>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</si>
  <si>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</si>
  <si>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</si>
  <si>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</si>
  <si>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</si>
  <si>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</si>
  <si>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</si>
  <si>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</si>
  <si>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</si>
  <si>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</si>
  <si>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</si>
  <si>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</si>
  <si>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</si>
  <si>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</si>
  <si>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</si>
  <si>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</si>
  <si>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</si>
  <si>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</si>
  <si>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</si>
  <si>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</si>
  <si>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</si>
  <si>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</si>
  <si>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</si>
  <si>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</si>
  <si>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</si>
  <si>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</si>
  <si>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</si>
  <si>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</si>
  <si>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</si>
  <si>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</si>
  <si>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</si>
  <si>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</si>
  <si>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</si>
  <si>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</si>
  <si>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</si>
  <si>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</si>
  <si>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</si>
  <si>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</si>
  <si>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</si>
  <si>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</si>
  <si>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</si>
  <si>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</si>
  <si>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</si>
  <si>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</si>
  <si>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</si>
  <si>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</si>
  <si>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</si>
  <si>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</si>
  <si>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</si>
  <si>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</si>
  <si>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</si>
  <si>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</si>
  <si>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</si>
  <si>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</si>
  <si>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</si>
  <si>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</si>
  <si>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</si>
  <si>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</si>
  <si>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</si>
  <si>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</si>
  <si>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</si>
  <si>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</si>
  <si>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</si>
  <si>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</si>
  <si>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</si>
  <si>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</si>
  <si>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</si>
  <si>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</si>
  <si>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</si>
  <si>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</si>
  <si>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</si>
  <si>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</si>
  <si>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</si>
  <si>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</si>
  <si>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</si>
  <si>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</si>
  <si>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</si>
  <si>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</si>
  <si>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</si>
  <si>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</si>
  <si>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</si>
  <si>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</si>
  <si>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</si>
  <si>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</si>
  <si>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</si>
  <si>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</si>
  <si>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</si>
  <si>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</si>
  <si>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</si>
  <si>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</si>
  <si>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</si>
  <si>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</si>
  <si>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</si>
  <si>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</si>
  <si>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</si>
  <si>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</si>
  <si>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</si>
  <si>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</si>
  <si>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</si>
  <si>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</si>
  <si>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</si>
  <si>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</si>
  <si>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</si>
  <si>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</si>
  <si>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</si>
  <si>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</si>
  <si>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</si>
  <si>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</si>
  <si>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</si>
  <si>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</si>
  <si>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</si>
  <si>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</si>
  <si>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</si>
  <si>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</si>
  <si>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</si>
  <si>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</si>
  <si>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</si>
  <si>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</si>
  <si>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</si>
  <si>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</si>
  <si>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</si>
  <si>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</si>
  <si>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</si>
  <si>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</si>
  <si>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</si>
  <si>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</si>
  <si>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</si>
  <si>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</si>
  <si>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</si>
  <si>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</si>
  <si>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</si>
  <si>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</si>
  <si>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</si>
  <si>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</si>
  <si>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</si>
  <si>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</si>
  <si>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</si>
  <si>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</si>
  <si>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</si>
  <si>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</si>
  <si>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</si>
  <si>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</si>
  <si>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</si>
  <si>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</si>
  <si>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</si>
  <si>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</si>
  <si>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</si>
  <si>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</si>
  <si>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</si>
  <si>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</si>
  <si>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</si>
  <si>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</si>
  <si>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</si>
  <si>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</si>
  <si>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</si>
  <si>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</si>
  <si>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</si>
  <si>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</si>
  <si>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</si>
  <si>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</si>
  <si>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</si>
  <si>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</si>
  <si>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</si>
  <si>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</si>
  <si>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</si>
  <si>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</si>
  <si>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</si>
  <si>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</si>
  <si>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</si>
  <si>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</si>
  <si>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</si>
  <si>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</si>
  <si>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</si>
  <si>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</si>
  <si>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</si>
  <si>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</si>
  <si>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</si>
  <si>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</si>
  <si>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</si>
  <si>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</si>
  <si>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</si>
  <si>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</si>
  <si>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</si>
  <si>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</si>
  <si>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</si>
  <si>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</si>
  <si>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</si>
  <si>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</si>
  <si>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</si>
  <si>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</si>
  <si>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</si>
  <si>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</si>
  <si>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</si>
  <si>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</si>
  <si>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</si>
  <si>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</si>
  <si>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</si>
  <si>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</si>
  <si>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</si>
  <si>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</si>
  <si>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</si>
  <si>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</si>
  <si>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</si>
  <si>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</si>
  <si>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</si>
  <si>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</si>
  <si>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</si>
  <si>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</si>
  <si>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</si>
  <si>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</si>
  <si>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</si>
  <si>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</si>
  <si>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</si>
  <si>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</si>
  <si>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</si>
  <si>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</si>
  <si>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</si>
  <si>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</si>
  <si>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</si>
  <si>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</si>
  <si>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</si>
  <si>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</si>
  <si>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</si>
  <si>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</si>
  <si>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</si>
  <si>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</si>
  <si>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</si>
  <si>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</si>
  <si>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</si>
  <si>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</si>
  <si>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</si>
  <si>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</si>
  <si>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</si>
  <si>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</si>
  <si>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</si>
  <si>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</si>
  <si>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</si>
  <si>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</si>
  <si>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</si>
  <si>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</si>
  <si>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</si>
  <si>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</si>
  <si>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</si>
  <si>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</si>
  <si>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</si>
  <si>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</si>
  <si>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</si>
  <si>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</si>
  <si>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</si>
  <si>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</si>
  <si>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</si>
  <si>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</si>
  <si>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</si>
  <si>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</si>
  <si>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</si>
  <si>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</si>
  <si>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</si>
  <si>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</si>
  <si>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</si>
  <si>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</si>
  <si>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</si>
  <si>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</si>
  <si>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</si>
  <si>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</si>
  <si>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</si>
  <si>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</si>
  <si>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</si>
  <si>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</si>
  <si>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</si>
  <si>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</si>
  <si>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</si>
  <si>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</si>
  <si>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</si>
  <si>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</si>
  <si>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</si>
  <si>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</si>
  <si>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</si>
  <si>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</si>
  <si>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</si>
  <si>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</si>
  <si>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</si>
  <si>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</si>
  <si>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</si>
  <si>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</si>
  <si>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</si>
  <si>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</si>
  <si>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</si>
  <si>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</si>
  <si>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</si>
  <si>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</si>
  <si>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</si>
  <si>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</si>
  <si>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</si>
  <si>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</si>
  <si>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</si>
  <si>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</si>
  <si>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</si>
  <si>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</si>
  <si>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</si>
  <si>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</si>
  <si>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</si>
  <si>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</si>
  <si>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</si>
  <si>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</si>
  <si>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</si>
  <si>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</si>
  <si>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</si>
  <si>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</si>
  <si>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</si>
  <si>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</si>
  <si>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</si>
  <si>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</si>
  <si>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</si>
  <si>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</si>
  <si>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</si>
  <si>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</si>
  <si>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</si>
  <si>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</si>
  <si>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</si>
  <si>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</si>
  <si>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</si>
  <si>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</si>
  <si>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</si>
  <si>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</si>
  <si>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</si>
  <si>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</si>
  <si>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</si>
  <si>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</si>
  <si>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</si>
  <si>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</si>
  <si>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</si>
  <si>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</si>
  <si>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</si>
  <si>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</si>
  <si>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</si>
  <si>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</si>
  <si>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</si>
  <si>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</si>
  <si>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</si>
  <si>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</si>
  <si>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</si>
  <si>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</si>
  <si>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</si>
  <si>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</si>
  <si>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</si>
  <si>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</si>
  <si>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</si>
  <si>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</si>
  <si>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</si>
  <si>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</si>
  <si>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</si>
  <si>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</si>
  <si>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</si>
  <si>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</si>
  <si>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</si>
  <si>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</si>
  <si>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</si>
  <si>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</si>
  <si>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</si>
  <si>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</si>
  <si>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</si>
  <si>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</si>
  <si>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</si>
  <si>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</si>
  <si>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</si>
  <si>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</si>
  <si>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</si>
  <si>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</si>
  <si>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</si>
  <si>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</si>
  <si>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</si>
  <si>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</si>
  <si>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</si>
  <si>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</si>
  <si>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</si>
  <si>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</si>
  <si>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</si>
  <si>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</si>
  <si>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</si>
  <si>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</si>
  <si>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</si>
  <si>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</si>
  <si>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</si>
  <si>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</si>
  <si>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</si>
  <si>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</si>
  <si>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</si>
  <si>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</si>
  <si>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</si>
  <si>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</si>
  <si>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</si>
  <si>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</si>
  <si>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</si>
  <si>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</si>
  <si>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</si>
  <si>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</si>
  <si>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</si>
  <si>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</si>
  <si>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</si>
  <si>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</si>
  <si>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</si>
  <si>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</si>
  <si>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</si>
  <si>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</si>
  <si>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</si>
  <si>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</si>
  <si>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</si>
  <si>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</si>
  <si>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</si>
  <si>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</si>
  <si>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</si>
  <si>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</si>
  <si>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</si>
  <si>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</si>
  <si>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</si>
  <si>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</si>
  <si>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</si>
  <si>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</si>
  <si>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</si>
  <si>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</si>
  <si>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</si>
  <si>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</si>
  <si>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</si>
  <si>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</si>
  <si>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</si>
  <si>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</si>
  <si>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</si>
  <si>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</si>
  <si>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</si>
  <si>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</si>
  <si>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</si>
  <si>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</si>
  <si>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</si>
  <si>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</si>
  <si>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</si>
  <si>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</si>
  <si>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</si>
  <si>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</si>
  <si>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</si>
  <si>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</si>
  <si>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</si>
  <si>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</si>
  <si>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</si>
  <si>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</si>
  <si>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</si>
  <si>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</si>
  <si>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</si>
  <si>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</si>
  <si>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</si>
  <si>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</si>
  <si>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</si>
  <si>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</si>
  <si>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</si>
  <si>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</si>
  <si>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</si>
  <si>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</si>
  <si>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</si>
  <si>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</si>
  <si>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</si>
  <si>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</si>
  <si>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</si>
  <si>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</si>
  <si>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</si>
  <si>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</si>
  <si>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</si>
  <si>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</si>
  <si>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</si>
  <si>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</si>
  <si>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</si>
  <si>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</si>
  <si>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</si>
  <si>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</si>
  <si>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</si>
  <si>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</si>
  <si>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</si>
  <si>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</si>
  <si>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</si>
  <si>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</si>
  <si>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</si>
  <si>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</si>
  <si>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</si>
  <si>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</si>
  <si>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</si>
  <si>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</si>
  <si>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</si>
  <si>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</si>
  <si>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</si>
  <si>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</si>
  <si>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</si>
  <si>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</si>
  <si>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</si>
  <si>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</si>
  <si>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</si>
  <si>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</si>
  <si>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</si>
  <si>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</si>
  <si>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</si>
  <si>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</si>
  <si>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</si>
  <si>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</si>
  <si>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</si>
  <si>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</si>
  <si>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</si>
  <si>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</si>
  <si>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</si>
  <si>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</si>
  <si>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</si>
  <si>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</si>
  <si>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</si>
  <si>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</si>
  <si>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</si>
  <si>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</si>
  <si>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</si>
  <si>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</si>
  <si>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</si>
  <si>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</si>
  <si>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</si>
  <si>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</si>
  <si>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</si>
  <si>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</si>
  <si>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</si>
  <si>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</si>
  <si>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</si>
  <si>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</si>
  <si>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</si>
  <si>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</si>
  <si>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</si>
  <si>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</si>
  <si>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</si>
  <si>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</si>
  <si>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</si>
  <si>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</si>
  <si>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</si>
  <si>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</si>
  <si>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</si>
  <si>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</si>
  <si>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</si>
  <si>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</si>
  <si>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</si>
  <si>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</si>
  <si>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</si>
  <si>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</si>
  <si>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</si>
  <si>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</si>
  <si>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</si>
  <si>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</si>
  <si>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</si>
  <si>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</si>
  <si>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</si>
  <si>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</si>
  <si>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</si>
  <si>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</si>
  <si>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</si>
  <si>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</si>
  <si>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</si>
  <si>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</si>
  <si>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</si>
  <si>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</si>
  <si>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</si>
  <si>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</si>
  <si>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</si>
  <si>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</si>
  <si>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</si>
  <si>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</si>
  <si>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</si>
  <si>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</si>
  <si>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</si>
  <si>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</si>
  <si>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</si>
  <si>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</si>
  <si>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</si>
  <si>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</si>
  <si>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</si>
  <si>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</si>
  <si>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</si>
  <si>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</si>
  <si>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</si>
  <si>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</si>
  <si>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</si>
  <si>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</si>
  <si>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</si>
  <si>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</si>
  <si>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</si>
  <si>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</si>
  <si>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</si>
  <si>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</si>
  <si>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</si>
  <si>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</si>
  <si>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</si>
  <si>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</si>
  <si>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</si>
  <si>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</si>
  <si>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</si>
  <si>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</si>
  <si>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</si>
  <si>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</si>
  <si>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</si>
  <si>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</si>
  <si>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</si>
  <si>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</si>
  <si>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</si>
  <si>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</si>
  <si>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</si>
  <si>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</si>
  <si>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</si>
  <si>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</si>
  <si>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</si>
  <si>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</si>
  <si>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</si>
  <si>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</si>
  <si>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</si>
  <si>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</si>
  <si>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</si>
  <si>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</si>
  <si>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</si>
  <si>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</si>
  <si>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</si>
  <si>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</si>
  <si>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</si>
  <si>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</si>
  <si>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</si>
  <si>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</si>
  <si>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</si>
  <si>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</si>
  <si>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</si>
  <si>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</si>
  <si>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</si>
  <si>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</si>
  <si>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</si>
  <si>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</si>
  <si>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</si>
  <si>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</si>
  <si>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</si>
  <si>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</si>
  <si>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</si>
  <si>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</si>
  <si>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</si>
  <si>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</si>
  <si>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</si>
  <si>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</si>
  <si>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</si>
  <si>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</si>
  <si>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</si>
  <si>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</si>
  <si>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</si>
  <si>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</si>
  <si>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</si>
  <si>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</si>
  <si>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</si>
  <si>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</si>
  <si>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</si>
  <si>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</si>
  <si>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</si>
  <si>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</si>
  <si>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</si>
  <si>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</si>
  <si>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</si>
  <si>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</si>
  <si>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</si>
  <si>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</si>
  <si>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</si>
  <si>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</si>
  <si>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</si>
  <si>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</si>
  <si>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</si>
  <si>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</si>
  <si>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</si>
  <si>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</si>
  <si>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</si>
  <si>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</si>
  <si>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</si>
  <si>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</si>
  <si>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</si>
  <si>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</si>
  <si>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</si>
  <si>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</si>
  <si>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</si>
  <si>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</si>
  <si>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</si>
  <si>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</si>
  <si>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</si>
  <si>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</si>
  <si>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</si>
  <si>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</si>
  <si>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</si>
  <si>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</si>
  <si>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</si>
  <si>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</si>
  <si>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</si>
  <si>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</si>
  <si>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</si>
  <si>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</si>
  <si>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</si>
  <si>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</si>
  <si>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</si>
  <si>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</si>
  <si>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</si>
  <si>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</si>
  <si>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</si>
  <si>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</si>
  <si>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</si>
  <si>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</si>
  <si>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</si>
  <si>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</si>
  <si>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</si>
  <si>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</si>
  <si>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</si>
  <si>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</si>
  <si>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</si>
  <si>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</si>
  <si>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</si>
  <si>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</si>
  <si>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</si>
  <si>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</si>
  <si>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</si>
  <si>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</si>
  <si>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</si>
  <si>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</si>
  <si>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</si>
  <si>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</si>
  <si>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</si>
  <si>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</si>
  <si>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</si>
  <si>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</si>
  <si>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</si>
  <si>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</si>
  <si>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</si>
  <si>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</si>
  <si>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</si>
  <si>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</si>
  <si>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</si>
  <si>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</si>
  <si>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</si>
  <si>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</si>
  <si>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</si>
  <si>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</si>
  <si>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</si>
  <si>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</si>
  <si>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</si>
  <si>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</si>
  <si>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</si>
  <si>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</si>
  <si>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</si>
  <si>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</si>
  <si>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</si>
  <si>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</si>
  <si>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</si>
  <si>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</si>
  <si>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</si>
  <si>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</si>
  <si>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</si>
  <si>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</si>
  <si>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</si>
  <si>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</si>
  <si>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</si>
  <si>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</si>
  <si>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</si>
  <si>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</si>
  <si>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</si>
  <si>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</si>
  <si>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</si>
  <si>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</si>
  <si>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</si>
  <si>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</si>
  <si>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</si>
  <si>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</si>
  <si>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</si>
  <si>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</si>
  <si>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</si>
  <si>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</si>
  <si>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</si>
  <si>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</si>
  <si>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</si>
  <si>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</si>
  <si>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</si>
  <si>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</si>
  <si>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</si>
  <si>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</si>
  <si>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</si>
  <si>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</si>
  <si>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</si>
  <si>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</si>
  <si>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</si>
  <si>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</si>
  <si>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</si>
  <si>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</si>
  <si>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</si>
  <si>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</si>
  <si>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</si>
  <si>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</si>
  <si>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</si>
  <si>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</si>
  <si>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</si>
  <si>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</si>
  <si>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</si>
  <si>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</si>
  <si>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</si>
  <si>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</si>
  <si>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</si>
  <si>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</si>
  <si>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</si>
  <si>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</si>
  <si>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</si>
  <si>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</si>
  <si>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</si>
  <si>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</si>
  <si>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</si>
  <si>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</si>
  <si>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</si>
  <si>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</si>
  <si>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</si>
  <si>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</si>
  <si>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</si>
  <si>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</si>
  <si>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</si>
  <si>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</si>
  <si>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</si>
  <si>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</si>
  <si>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</si>
  <si>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</si>
  <si>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</si>
  <si>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</si>
  <si>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</si>
  <si>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</si>
  <si>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</si>
  <si>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</si>
  <si>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</si>
  <si>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</si>
  <si>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</si>
  <si>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</si>
  <si>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</si>
  <si>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</si>
  <si>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</si>
  <si>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</si>
  <si>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</si>
  <si>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</si>
  <si>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</si>
  <si>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</si>
  <si>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</si>
  <si>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</si>
  <si>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</si>
  <si>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</si>
  <si>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</si>
  <si>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</si>
  <si>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</si>
  <si>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</si>
  <si>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</si>
  <si>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</si>
  <si>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</si>
  <si>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</si>
  <si>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</si>
  <si>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</si>
  <si>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</si>
  <si>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</si>
  <si>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</si>
  <si>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</si>
  <si>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</si>
  <si>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</si>
  <si>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</si>
  <si>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</si>
  <si>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</si>
  <si>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</si>
  <si>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</si>
  <si>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</si>
  <si>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</si>
  <si>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</si>
  <si>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</si>
  <si>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</si>
  <si>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</si>
  <si>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</si>
  <si>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</si>
  <si>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</si>
  <si>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</si>
  <si>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</si>
  <si>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</si>
  <si>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</si>
  <si>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</si>
  <si>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</si>
  <si>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</si>
  <si>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</si>
  <si>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</si>
  <si>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</si>
  <si>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</si>
  <si>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</si>
  <si>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</si>
  <si>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</si>
  <si>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</si>
  <si>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</si>
  <si>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</si>
  <si>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</si>
  <si>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</si>
  <si>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</si>
  <si>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</si>
  <si>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</si>
  <si>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</si>
  <si>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</si>
  <si>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</si>
  <si>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</si>
  <si>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</si>
  <si>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</si>
  <si>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</si>
  <si>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</si>
  <si>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</si>
  <si>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</si>
  <si>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</si>
  <si>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</si>
  <si>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</si>
  <si>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</si>
  <si>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</si>
  <si>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</si>
  <si>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</si>
  <si>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</si>
  <si>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</si>
  <si>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</si>
  <si>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</si>
  <si>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</si>
  <si>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</si>
  <si>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</si>
  <si>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</si>
  <si>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</si>
  <si>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</si>
  <si>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</si>
  <si>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</si>
  <si>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</si>
  <si>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</si>
  <si>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</si>
  <si>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</si>
  <si>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</si>
  <si>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</si>
  <si>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</si>
  <si>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</si>
  <si>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</si>
  <si>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</si>
  <si>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</si>
  <si>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</si>
  <si>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</si>
  <si>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</si>
  <si>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</si>
  <si>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</si>
  <si>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</si>
  <si>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</si>
  <si>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</si>
  <si>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</si>
  <si>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</si>
  <si>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</si>
  <si>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</si>
  <si>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</si>
  <si>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</si>
  <si>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</si>
  <si>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</si>
  <si>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</si>
  <si>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</si>
  <si>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</si>
  <si>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</si>
  <si>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</si>
  <si>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</si>
  <si>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</si>
  <si>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</si>
  <si>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</si>
  <si>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</si>
  <si>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</si>
  <si>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</si>
  <si>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</si>
  <si>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</si>
  <si>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</si>
  <si>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</si>
  <si>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</si>
  <si>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</si>
  <si>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</si>
  <si>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</si>
  <si>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</si>
  <si>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</si>
  <si>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</si>
  <si>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</si>
  <si>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</si>
  <si>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</si>
  <si>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</si>
  <si>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</si>
  <si>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</si>
  <si>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</si>
  <si>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</si>
  <si>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</si>
  <si>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</si>
  <si>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</si>
  <si>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</si>
  <si>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</si>
  <si>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</si>
  <si>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</si>
  <si>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</si>
  <si>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</si>
  <si>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</si>
  <si>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</si>
  <si>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</si>
  <si>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</si>
  <si>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</si>
  <si>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</si>
  <si>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</si>
  <si>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</si>
  <si>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</si>
  <si>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</si>
  <si>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</si>
  <si>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</si>
  <si>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</si>
  <si>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</si>
  <si>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</si>
  <si>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</si>
  <si>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</si>
  <si>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</si>
  <si>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</si>
  <si>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</si>
  <si>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</si>
  <si>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</si>
  <si>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</si>
  <si>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</si>
  <si>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</si>
  <si>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</si>
  <si>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</si>
  <si>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</si>
  <si>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</si>
  <si>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</si>
  <si>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</si>
  <si>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</si>
  <si>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</si>
  <si>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</si>
  <si>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</si>
  <si>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</si>
  <si>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</si>
  <si>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</si>
  <si>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</si>
  <si>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</si>
  <si>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</si>
  <si>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</si>
  <si>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</si>
  <si>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</si>
  <si>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</si>
  <si>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</si>
  <si>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</si>
  <si>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</si>
  <si>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</si>
  <si>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</si>
  <si>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</si>
  <si>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</si>
  <si>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</si>
  <si>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</si>
  <si>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</si>
  <si>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</si>
  <si>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</si>
  <si>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</si>
  <si>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</si>
  <si>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</si>
  <si>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</si>
  <si>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</si>
  <si>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</si>
  <si>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</si>
  <si>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</si>
  <si>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</si>
  <si>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</si>
  <si>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</si>
  <si>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</si>
  <si>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</si>
  <si>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</si>
  <si>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</si>
  <si>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</si>
  <si>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</si>
  <si>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</si>
  <si>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</si>
  <si>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</si>
  <si>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</si>
  <si>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</si>
  <si>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</si>
  <si>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</si>
  <si>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</si>
  <si>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</si>
  <si>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</si>
  <si>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</si>
  <si>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</si>
  <si>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</si>
  <si>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</si>
  <si>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</si>
  <si>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</si>
  <si>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</si>
  <si>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</si>
  <si>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</si>
  <si>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</si>
  <si>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</si>
  <si>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</si>
  <si>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</si>
  <si>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</si>
  <si>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</si>
  <si>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</si>
  <si>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</si>
  <si>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</si>
  <si>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</si>
  <si>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</si>
  <si>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</si>
  <si>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</si>
  <si>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</si>
  <si>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</si>
  <si>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</si>
  <si>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</si>
  <si>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</si>
  <si>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</si>
  <si>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</si>
  <si>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</si>
  <si>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</si>
  <si>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</si>
  <si>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</si>
  <si>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</si>
  <si>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</si>
  <si>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</si>
  <si>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</si>
  <si>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</si>
  <si>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</si>
  <si>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</si>
  <si>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</si>
  <si>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</si>
  <si>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</si>
  <si>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</si>
  <si>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</si>
  <si>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</si>
  <si>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</si>
  <si>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</si>
  <si>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</si>
  <si>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</si>
  <si>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</si>
  <si>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</si>
  <si>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</si>
  <si>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</si>
  <si>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</si>
  <si>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</si>
  <si>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</si>
  <si>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</si>
  <si>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</si>
  <si>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</si>
  <si>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</si>
  <si>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</si>
  <si>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</si>
  <si>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</si>
  <si>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</si>
  <si>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</si>
  <si>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</si>
  <si>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</si>
  <si>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</si>
  <si>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</si>
  <si>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</si>
  <si>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</si>
  <si>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</si>
  <si>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</si>
  <si>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</si>
  <si>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</si>
  <si>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</si>
  <si>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</si>
  <si>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</si>
  <si>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</si>
  <si>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</si>
  <si>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</si>
  <si>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</si>
  <si>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</si>
  <si>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</si>
  <si>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</si>
  <si>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</si>
  <si>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</si>
  <si>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</si>
  <si>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</si>
  <si>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</si>
  <si>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</si>
  <si>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</si>
  <si>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</si>
  <si>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</si>
  <si>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</si>
  <si>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</si>
  <si>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</si>
  <si>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</si>
  <si>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</si>
  <si>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</si>
  <si>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</si>
  <si>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</si>
  <si>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</si>
  <si>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</si>
  <si>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</si>
  <si>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</si>
  <si>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</si>
  <si>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</si>
  <si>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</si>
  <si>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</si>
  <si>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</si>
  <si>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</si>
  <si>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</si>
  <si>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</si>
  <si>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</si>
  <si>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</si>
  <si>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</si>
  <si>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</si>
  <si>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</si>
  <si>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</si>
  <si>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</si>
  <si>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</si>
  <si>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</si>
  <si>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</si>
  <si>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</si>
  <si>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</si>
  <si>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</si>
  <si>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</si>
  <si>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</si>
  <si>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</si>
  <si>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</si>
  <si>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</si>
  <si>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</si>
  <si>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</si>
  <si>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</si>
  <si>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</si>
  <si>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</si>
  <si>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</si>
  <si>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</si>
  <si>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</si>
  <si>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</si>
  <si>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</si>
  <si>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</si>
  <si>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</si>
  <si>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</si>
  <si>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</si>
  <si>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</si>
  <si>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</si>
  <si>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</si>
  <si>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</si>
  <si>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</si>
  <si>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</si>
  <si>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</si>
  <si>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</si>
  <si>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</si>
  <si>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</si>
  <si>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</si>
  <si>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</si>
  <si>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</si>
  <si>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</si>
  <si>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</si>
  <si>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</si>
  <si>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</si>
  <si>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</si>
  <si>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</si>
  <si>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</si>
  <si>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</si>
  <si>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</si>
  <si>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</si>
  <si>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</si>
  <si>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</si>
  <si>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</si>
  <si>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</si>
  <si>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</si>
  <si>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</si>
  <si>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</si>
  <si>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</si>
  <si>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</si>
  <si>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</si>
  <si>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</si>
  <si>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</si>
  <si>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</si>
  <si>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</si>
  <si>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</si>
  <si>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</si>
  <si>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</si>
  <si>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</si>
  <si>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</si>
  <si>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</si>
  <si>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</si>
  <si>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</si>
  <si>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</si>
  <si>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</si>
  <si>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</si>
  <si>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</si>
  <si>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</si>
  <si>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</si>
  <si>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</si>
  <si>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</si>
  <si>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</si>
  <si>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</si>
  <si>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</si>
  <si>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</si>
  <si>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</si>
  <si>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</si>
  <si>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</si>
  <si>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</si>
  <si>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</si>
  <si>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</si>
  <si>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</si>
  <si>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</si>
  <si>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</si>
  <si>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</si>
  <si>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</si>
  <si>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</si>
  <si>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</si>
  <si>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</si>
  <si>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</si>
  <si>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</si>
  <si>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</si>
  <si>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</si>
  <si>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</si>
  <si>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</si>
  <si>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</si>
  <si>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</si>
  <si>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</si>
  <si>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</si>
  <si>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</si>
  <si>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</si>
  <si>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</si>
  <si>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</si>
  <si>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</si>
  <si>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</si>
  <si>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</si>
  <si>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</si>
  <si>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</si>
  <si>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</si>
  <si>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</si>
  <si>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</si>
  <si>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</si>
  <si>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</si>
  <si>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</si>
  <si>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</si>
  <si>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</si>
  <si>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</si>
  <si>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</si>
  <si>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</si>
  <si>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</si>
  <si>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</si>
  <si>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</si>
  <si>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</si>
  <si>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</si>
  <si>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</si>
  <si>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</si>
  <si>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</si>
  <si>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</si>
  <si>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</si>
  <si>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</si>
  <si>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</si>
  <si>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</si>
  <si>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</si>
  <si>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</si>
  <si>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</si>
  <si>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</si>
  <si>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</si>
  <si>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</si>
  <si>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</si>
  <si>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</si>
  <si>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</si>
  <si>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</si>
  <si>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</si>
  <si>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</si>
  <si>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</si>
  <si>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</si>
  <si>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</si>
  <si>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</si>
  <si>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</si>
  <si>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</si>
  <si>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</si>
  <si>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</si>
  <si>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</si>
  <si>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</si>
  <si>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</si>
  <si>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</si>
  <si>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</si>
  <si>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</si>
  <si>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</si>
  <si>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</si>
  <si>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</si>
  <si>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</si>
  <si>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</si>
  <si>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</si>
  <si>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</si>
  <si>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</si>
  <si>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</si>
  <si>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</si>
  <si>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</si>
  <si>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</si>
  <si>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</si>
  <si>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</si>
  <si>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</si>
  <si>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</si>
  <si>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</si>
  <si>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</si>
  <si>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</si>
  <si>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</si>
  <si>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</si>
  <si>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</si>
  <si>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</si>
  <si>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</si>
  <si>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</si>
  <si>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</si>
  <si>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</si>
  <si>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</si>
  <si>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</si>
  <si>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</si>
  <si>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</si>
  <si>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</si>
  <si>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</si>
  <si>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</si>
  <si>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</si>
  <si>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</si>
  <si>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</si>
  <si>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</si>
  <si>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</si>
  <si>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</si>
  <si>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</si>
  <si>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</si>
  <si>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</si>
  <si>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</si>
  <si>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</si>
  <si>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</si>
  <si>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</si>
  <si>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</si>
  <si>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</si>
  <si>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</si>
  <si>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</si>
  <si>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</si>
  <si>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</si>
  <si>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</si>
  <si>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</si>
  <si>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</si>
  <si>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</si>
  <si>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</si>
  <si>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</si>
  <si>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</si>
  <si>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</si>
  <si>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</si>
  <si>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</si>
  <si>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</si>
  <si>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</si>
  <si>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</si>
  <si>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</si>
  <si>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</si>
  <si>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</si>
  <si>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</si>
  <si>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</si>
  <si>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</si>
  <si>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</si>
  <si>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</si>
  <si>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</si>
  <si>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</si>
  <si>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</si>
  <si>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</si>
  <si>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</si>
  <si>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</si>
  <si>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</si>
  <si>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</si>
  <si>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</si>
  <si>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</si>
  <si>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</si>
  <si>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</si>
  <si>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</si>
  <si>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</si>
  <si>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</si>
  <si>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</si>
  <si>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</si>
  <si>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</si>
  <si>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</si>
  <si>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</si>
  <si>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</si>
  <si>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</si>
  <si>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</si>
  <si>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</si>
  <si>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</si>
  <si>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</si>
  <si>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</si>
  <si>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</si>
  <si>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</si>
  <si>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</si>
  <si>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</si>
  <si>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</si>
  <si>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</si>
  <si>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</si>
  <si>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</si>
  <si>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</si>
  <si>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</si>
  <si>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</si>
  <si>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</si>
  <si>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</si>
  <si>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</si>
  <si>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</si>
  <si>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</si>
  <si>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</si>
  <si>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</si>
  <si>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</si>
  <si>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</si>
  <si>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</si>
  <si>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</si>
  <si>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</si>
  <si>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</si>
  <si>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</si>
  <si>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</si>
  <si>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</si>
  <si>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</si>
  <si>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</si>
  <si>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</si>
  <si>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</si>
  <si>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</si>
  <si>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</si>
  <si>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</si>
  <si>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</si>
  <si>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</si>
  <si>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</si>
  <si>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</si>
  <si>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</si>
  <si>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</si>
  <si>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</si>
  <si>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</si>
  <si>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</si>
  <si>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</si>
  <si>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</si>
  <si>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</si>
  <si>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</si>
  <si>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</si>
  <si>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</si>
  <si>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</si>
  <si>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</si>
  <si>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</si>
  <si>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</si>
  <si>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</si>
  <si>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</si>
  <si>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</si>
  <si>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</si>
  <si>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</si>
  <si>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</si>
  <si>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</si>
  <si>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</si>
  <si>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</si>
  <si>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</si>
  <si>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</si>
  <si>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</si>
  <si>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</si>
  <si>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</si>
  <si>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</si>
  <si>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</si>
  <si>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</si>
  <si>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</si>
  <si>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</si>
  <si>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</si>
  <si>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</si>
  <si>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</si>
  <si>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</si>
  <si>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</si>
  <si>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</si>
  <si>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</si>
  <si>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</si>
  <si>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</si>
  <si>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</si>
  <si>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</si>
  <si>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</si>
  <si>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</si>
  <si>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</si>
  <si>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</si>
  <si>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</si>
  <si>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</si>
  <si>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</si>
  <si>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</si>
  <si>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</si>
  <si>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</si>
  <si>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</si>
  <si>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</si>
  <si>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</si>
  <si>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</si>
  <si>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</si>
  <si>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</si>
  <si>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</si>
  <si>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</si>
  <si>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</si>
  <si>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</si>
  <si>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</si>
  <si>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</si>
  <si>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</si>
  <si>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</si>
  <si>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</si>
  <si>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</si>
  <si>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</si>
  <si>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</si>
  <si>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</si>
  <si>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</si>
  <si>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</si>
  <si>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</si>
  <si>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</si>
  <si>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</si>
  <si>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</si>
  <si>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</si>
  <si>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</si>
  <si>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</si>
  <si>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</si>
  <si>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</si>
  <si>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</si>
  <si>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</si>
  <si>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</si>
  <si>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</si>
  <si>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</si>
  <si>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</si>
  <si>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</si>
  <si>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</si>
  <si>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</si>
  <si>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</si>
  <si>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</si>
  <si>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</si>
  <si>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</si>
  <si>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</si>
  <si>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</si>
  <si>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</si>
  <si>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</si>
  <si>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</si>
  <si>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</si>
  <si>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</si>
  <si>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</si>
  <si>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</si>
  <si>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</si>
  <si>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</si>
  <si>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</si>
  <si>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</si>
  <si>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</si>
  <si>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</si>
  <si>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</si>
  <si>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</si>
  <si>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</si>
  <si>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</si>
  <si>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</si>
  <si>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</si>
  <si>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</si>
  <si>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</si>
  <si>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</si>
  <si>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</si>
  <si>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</si>
  <si>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</si>
  <si>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</si>
  <si>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</si>
  <si>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</si>
  <si>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</si>
  <si>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</si>
  <si>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</si>
  <si>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</si>
  <si>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</si>
  <si>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</si>
  <si>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</si>
  <si>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</si>
  <si>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</si>
  <si>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</si>
  <si>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</si>
  <si>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</si>
  <si>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</si>
  <si>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</si>
  <si>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</si>
  <si>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</si>
  <si>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</si>
  <si>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</si>
  <si>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</si>
  <si>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</si>
  <si>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</si>
  <si>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</si>
  <si>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</si>
  <si>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</si>
  <si>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</si>
  <si>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</si>
  <si>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</si>
  <si>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</si>
  <si>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</si>
  <si>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</si>
  <si>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</si>
  <si>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</si>
  <si>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</si>
  <si>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</si>
  <si>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</si>
  <si>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</si>
  <si>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</si>
  <si>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</si>
  <si>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</si>
  <si>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</si>
  <si>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</si>
  <si>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</si>
  <si>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</si>
  <si>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</si>
  <si>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</si>
  <si>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</si>
  <si>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</si>
  <si>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</si>
  <si>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</si>
  <si>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</si>
  <si>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</si>
  <si>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</si>
  <si>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</si>
  <si>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</si>
  <si>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</si>
  <si>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</si>
  <si>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</si>
  <si>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</si>
  <si>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</si>
  <si>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</si>
  <si>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</si>
  <si>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</si>
  <si>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</si>
  <si>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</si>
  <si>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</si>
  <si>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</si>
  <si>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</si>
  <si>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</si>
  <si>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</si>
  <si>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</si>
  <si>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</si>
  <si>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</si>
  <si>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</si>
  <si>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</si>
  <si>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</si>
  <si>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</si>
  <si>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</si>
  <si>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</si>
  <si>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</si>
  <si>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</si>
  <si>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</si>
  <si>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</si>
  <si>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</si>
  <si>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</si>
  <si>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</si>
  <si>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</si>
  <si>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</si>
  <si>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</si>
  <si>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</si>
  <si>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</si>
  <si>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</si>
  <si>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</si>
  <si>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</si>
  <si>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</si>
  <si>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</si>
  <si>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</si>
  <si>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</si>
  <si>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</si>
  <si>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</si>
  <si>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</si>
  <si>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</si>
  <si>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</si>
  <si>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</si>
  <si>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</si>
  <si>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</si>
  <si>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</si>
  <si>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</si>
  <si>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</si>
  <si>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</si>
  <si>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</si>
  <si>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</si>
  <si>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</si>
  <si>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</si>
  <si>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</si>
  <si>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</si>
  <si>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</si>
  <si>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</si>
  <si>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</si>
  <si>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</si>
  <si>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</si>
  <si>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</si>
  <si>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</si>
  <si>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</si>
  <si>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</si>
  <si>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</si>
  <si>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</si>
  <si>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</si>
  <si>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</si>
  <si>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</si>
  <si>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</si>
  <si>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</si>
  <si>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</si>
  <si>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</si>
  <si>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</si>
  <si>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</si>
  <si>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</si>
  <si>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</si>
  <si>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</si>
  <si>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</si>
  <si>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</si>
  <si>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</si>
  <si>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</si>
  <si>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</si>
  <si>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</si>
  <si>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</si>
  <si>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</si>
  <si>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</si>
  <si>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</si>
  <si>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</si>
  <si>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</si>
  <si>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</si>
  <si>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</si>
  <si>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</si>
  <si>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</si>
  <si>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</si>
  <si>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</si>
  <si>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</si>
  <si>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</si>
  <si>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</si>
  <si>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</si>
  <si>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</si>
  <si>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</si>
  <si>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</si>
  <si>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</si>
  <si>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</si>
  <si>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</si>
  <si>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</si>
  <si>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</si>
  <si>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</si>
  <si>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</si>
  <si>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</si>
  <si>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</si>
  <si>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</si>
  <si>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</si>
  <si>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</si>
  <si>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</si>
  <si>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</si>
  <si>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</si>
  <si>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</si>
  <si>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</si>
  <si>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</si>
  <si>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</si>
  <si>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</si>
  <si>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</si>
  <si>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</si>
  <si>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</si>
  <si>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</si>
  <si>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</si>
  <si>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</si>
  <si>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</si>
  <si>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</si>
  <si>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</si>
  <si>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</si>
  <si>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</si>
  <si>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</si>
  <si>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</si>
  <si>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</si>
  <si>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</si>
  <si>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</si>
  <si>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</si>
  <si>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</si>
  <si>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</si>
  <si>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</si>
  <si>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</si>
  <si>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</si>
  <si>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</si>
  <si>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</si>
  <si>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</si>
  <si>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</si>
  <si>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</si>
  <si>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</si>
  <si>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</si>
  <si>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</si>
  <si>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</si>
  <si>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</si>
  <si>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</si>
  <si>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</si>
  <si>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</si>
  <si>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</si>
  <si>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</si>
  <si>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</si>
  <si>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</si>
  <si>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</si>
  <si>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</si>
  <si>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</si>
  <si>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</si>
  <si>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</si>
  <si>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</si>
  <si>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</si>
  <si>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</si>
  <si>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</si>
  <si>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</si>
  <si>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</si>
  <si>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</si>
  <si>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</si>
  <si>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</si>
  <si>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</si>
  <si>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</si>
  <si>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</si>
  <si>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</si>
  <si>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</si>
  <si>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</si>
  <si>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</si>
  <si>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</si>
  <si>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</si>
  <si>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</si>
  <si>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</si>
  <si>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</si>
  <si>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</si>
  <si>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</si>
  <si>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</si>
  <si>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</si>
  <si>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</si>
  <si>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</si>
  <si>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</si>
  <si>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</si>
  <si>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</si>
  <si>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</si>
  <si>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</si>
  <si>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</si>
  <si>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</si>
  <si>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</si>
  <si>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</si>
  <si>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</si>
  <si>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</si>
  <si>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</si>
  <si>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</si>
  <si>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</si>
  <si>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</si>
  <si>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</si>
  <si>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</si>
  <si>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</si>
  <si>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</si>
  <si>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</si>
  <si>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</si>
  <si>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</si>
  <si>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</si>
  <si>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</si>
  <si>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</si>
  <si>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</si>
  <si>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</si>
  <si>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</si>
  <si>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</si>
  <si>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</si>
  <si>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</si>
  <si>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</si>
  <si>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</si>
  <si>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</si>
  <si>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</si>
  <si>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</si>
  <si>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</si>
  <si>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</si>
  <si>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</si>
  <si>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</si>
  <si>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</si>
  <si>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</si>
  <si>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</si>
  <si>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</si>
  <si>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</si>
  <si>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</si>
  <si>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</si>
  <si>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</si>
  <si>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</si>
  <si>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</si>
  <si>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</si>
  <si>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</si>
  <si>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</si>
  <si>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</si>
  <si>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</si>
  <si>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</si>
  <si>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</si>
  <si>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</si>
  <si>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</si>
  <si>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</si>
  <si>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</si>
  <si>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</si>
  <si>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</si>
  <si>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</si>
  <si>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</si>
  <si>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</si>
  <si>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</si>
  <si>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</si>
  <si>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</si>
  <si>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</si>
  <si>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</si>
  <si>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</si>
  <si>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</si>
  <si>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</si>
  <si>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</si>
  <si>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</si>
  <si>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</si>
  <si>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</si>
  <si>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</si>
  <si>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</si>
  <si>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</si>
  <si>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</si>
  <si>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</si>
  <si>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</si>
  <si>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</si>
  <si>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</si>
  <si>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</si>
  <si>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</si>
  <si>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</si>
  <si>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</si>
  <si>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</si>
  <si>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</si>
  <si>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</si>
  <si>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</si>
  <si>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</si>
  <si>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</si>
  <si>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</si>
  <si>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</si>
  <si>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</si>
  <si>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</si>
  <si>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</si>
  <si>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</si>
  <si>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</si>
  <si>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</si>
  <si>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</si>
  <si>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</si>
  <si>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</si>
  <si>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</si>
  <si>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</si>
  <si>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</si>
  <si>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</si>
  <si>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</si>
  <si>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</si>
  <si>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</si>
  <si>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</si>
  <si>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</si>
  <si>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</si>
  <si>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</si>
  <si>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</si>
  <si>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</si>
  <si>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</si>
  <si>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</si>
  <si>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</si>
  <si>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</si>
  <si>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</si>
  <si>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</si>
  <si>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</si>
  <si>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</si>
  <si>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</si>
  <si>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</si>
  <si>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</si>
  <si>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</si>
  <si>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</si>
  <si>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</si>
  <si>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</si>
  <si>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</si>
  <si>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</si>
  <si>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</si>
  <si>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</si>
  <si>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</si>
  <si>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</si>
  <si>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</si>
  <si>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</si>
  <si>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</si>
  <si>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</si>
  <si>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</si>
  <si>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</si>
  <si>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</si>
  <si>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</si>
  <si>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</si>
  <si>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</si>
  <si>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</si>
  <si>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</si>
  <si>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</si>
  <si>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</si>
  <si>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</si>
  <si>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</si>
  <si>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</si>
  <si>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</si>
  <si>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</si>
  <si>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</si>
  <si>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</si>
  <si>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</si>
  <si>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</si>
  <si>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</si>
  <si>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</si>
  <si>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</si>
  <si>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</si>
  <si>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</si>
  <si>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</si>
  <si>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</si>
  <si>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</si>
  <si>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</si>
  <si>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</si>
  <si>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</si>
  <si>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</si>
  <si>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</si>
  <si>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</si>
  <si>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</si>
  <si>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</si>
  <si>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</si>
  <si>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</si>
  <si>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</si>
  <si>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</si>
  <si>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</si>
  <si>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</si>
  <si>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</si>
  <si>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</si>
  <si>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</si>
  <si>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</si>
  <si>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</si>
  <si>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</si>
  <si>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</si>
  <si>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</si>
  <si>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</si>
  <si>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</si>
  <si>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</si>
  <si>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</si>
  <si>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</si>
  <si>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</si>
  <si>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</si>
  <si>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</si>
  <si>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</si>
  <si>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</si>
  <si>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</si>
  <si>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</si>
  <si>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</si>
  <si>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</si>
  <si>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</si>
  <si>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</si>
  <si>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</si>
  <si>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</si>
  <si>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</si>
  <si>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</si>
  <si>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</si>
  <si>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</si>
  <si>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</si>
  <si>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</si>
  <si>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</si>
  <si>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</si>
  <si>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</si>
  <si>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</si>
  <si>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</si>
  <si>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</si>
  <si>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</si>
  <si>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</si>
  <si>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</si>
  <si>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</si>
  <si>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</si>
  <si>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</si>
  <si>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</si>
  <si>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</si>
  <si>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</si>
  <si>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</si>
  <si>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</si>
  <si>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</si>
  <si>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</si>
  <si>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</si>
  <si>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</si>
  <si>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</si>
  <si>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</si>
  <si>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</si>
  <si>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</si>
  <si>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</si>
  <si>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</si>
  <si>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</si>
  <si>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</si>
  <si>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</si>
  <si>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</si>
  <si>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</si>
  <si>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</si>
  <si>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</si>
  <si>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</si>
  <si>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</si>
  <si>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</si>
  <si>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</si>
  <si>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</si>
  <si>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</si>
  <si>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</si>
  <si>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</si>
  <si>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</si>
  <si>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</si>
  <si>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</si>
  <si>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</si>
  <si>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</si>
  <si>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</si>
  <si>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</si>
  <si>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</si>
  <si>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</si>
  <si>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</si>
  <si>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</si>
  <si>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</si>
  <si>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</si>
  <si>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</si>
  <si>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</si>
  <si>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</si>
  <si>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</si>
  <si>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</si>
  <si>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</si>
  <si>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</si>
  <si>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</si>
  <si>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</si>
  <si>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</si>
  <si>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</si>
  <si>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</si>
  <si>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</si>
  <si>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</si>
  <si>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</si>
  <si>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</si>
  <si>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</si>
  <si>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</si>
  <si>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</si>
  <si>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</si>
  <si>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</si>
  <si>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</si>
  <si>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</si>
  <si>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</si>
  <si>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</si>
  <si>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</si>
  <si>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</si>
  <si>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</si>
  <si>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</si>
  <si>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</si>
  <si>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</si>
  <si>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</si>
  <si>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</si>
  <si>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</si>
  <si>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</si>
  <si>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</si>
  <si>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</si>
  <si>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</si>
  <si>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</si>
  <si>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</si>
  <si>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</si>
  <si>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</si>
  <si>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</si>
  <si>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</si>
  <si>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</si>
  <si>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</si>
  <si>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</si>
  <si>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</si>
  <si>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</si>
  <si>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</si>
  <si>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</si>
  <si>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</si>
  <si>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</si>
  <si>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</si>
  <si>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</si>
  <si>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</si>
  <si>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</si>
  <si>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</si>
  <si>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</si>
  <si>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</si>
  <si>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</si>
  <si>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</si>
  <si>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</si>
  <si>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</si>
  <si>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</si>
  <si>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</si>
  <si>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</si>
  <si>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</si>
  <si>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</si>
  <si>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</si>
  <si>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</si>
  <si>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</si>
  <si>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</si>
  <si>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</si>
  <si>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</si>
  <si>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</si>
  <si>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</si>
  <si>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</si>
  <si>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</si>
  <si>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</si>
  <si>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</si>
  <si>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</si>
  <si>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</si>
  <si>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</si>
  <si>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</si>
  <si>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</si>
  <si>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</si>
  <si>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</si>
  <si>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</si>
  <si>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</si>
  <si>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</si>
  <si>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</si>
  <si>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</si>
  <si>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</si>
  <si>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</si>
  <si>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</si>
  <si>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</si>
  <si>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</si>
  <si>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</si>
  <si>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</si>
  <si>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</si>
  <si>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</si>
  <si>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</si>
  <si>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</si>
  <si>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</si>
  <si>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</si>
  <si>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</si>
  <si>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</si>
  <si>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</si>
  <si>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</si>
  <si>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</si>
  <si>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</si>
  <si>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</si>
  <si>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</si>
  <si>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</si>
  <si>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</si>
  <si>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</si>
  <si>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</si>
  <si>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</si>
  <si>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</si>
  <si>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</si>
  <si>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</si>
  <si>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</si>
  <si>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</si>
  <si>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</si>
  <si>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</si>
  <si>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</si>
  <si>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</si>
  <si>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</si>
  <si>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</si>
  <si>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</si>
  <si>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</si>
  <si>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</si>
  <si>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</si>
  <si>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</si>
  <si>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</si>
  <si>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</si>
  <si>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</si>
  <si>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</si>
  <si>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</si>
  <si>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</si>
  <si>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</si>
  <si>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</si>
  <si>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</si>
  <si>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</si>
  <si>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</si>
  <si>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</si>
  <si>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</si>
  <si>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</si>
  <si>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</si>
  <si>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</si>
  <si>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</si>
  <si>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</si>
  <si>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</si>
  <si>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</si>
  <si>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</si>
  <si>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</si>
  <si>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</si>
  <si>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</si>
  <si>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</si>
  <si>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</si>
  <si>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</si>
  <si>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</si>
  <si>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</si>
  <si>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</si>
  <si>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</si>
  <si>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</si>
  <si>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</si>
  <si>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</si>
  <si>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</si>
  <si>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</si>
  <si>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</si>
  <si>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</si>
  <si>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</si>
  <si>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</si>
  <si>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</si>
  <si>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</si>
  <si>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</si>
  <si>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</si>
  <si>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</si>
  <si>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</si>
  <si>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</si>
  <si>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</si>
  <si>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</si>
  <si>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</si>
  <si>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</si>
  <si>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</si>
  <si>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</si>
  <si>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</si>
  <si>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</si>
  <si>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</si>
  <si>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</si>
  <si>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</si>
  <si>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</si>
  <si>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</si>
  <si>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</si>
  <si>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</si>
  <si>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</si>
  <si>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</si>
  <si>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</si>
  <si>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</si>
  <si>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</si>
  <si>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</si>
  <si>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</si>
  <si>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</si>
  <si>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</si>
  <si>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</si>
  <si>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</si>
  <si>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</si>
  <si>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</si>
  <si>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</si>
  <si>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</si>
  <si>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</si>
  <si>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</si>
  <si>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</si>
  <si>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</si>
  <si>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</si>
  <si>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</si>
  <si>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</si>
  <si>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</si>
  <si>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</si>
  <si>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</si>
  <si>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</si>
  <si>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</si>
  <si>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</si>
  <si>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</si>
  <si>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</si>
  <si>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</si>
  <si>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</si>
  <si>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</si>
  <si>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</si>
  <si>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</si>
  <si>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</si>
  <si>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</si>
  <si>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</si>
  <si>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</si>
  <si>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</si>
  <si>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</si>
  <si>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</si>
  <si>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</si>
  <si>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</si>
  <si>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</si>
  <si>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</si>
  <si>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</si>
  <si>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</si>
  <si>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</si>
  <si>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</si>
  <si>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</si>
  <si>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</si>
  <si>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</si>
  <si>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</si>
  <si>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</si>
  <si>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</si>
  <si>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</si>
  <si>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</si>
  <si>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</si>
  <si>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</si>
  <si>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</si>
  <si>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</si>
  <si>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</si>
  <si>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</si>
  <si>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</si>
  <si>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</si>
  <si>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</si>
  <si>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</si>
  <si>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</si>
  <si>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</si>
  <si>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</si>
  <si>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</si>
  <si>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</si>
  <si>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</si>
  <si>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</si>
  <si>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</si>
  <si>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</si>
  <si>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</si>
  <si>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</si>
  <si>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</si>
  <si>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</si>
  <si>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</si>
  <si>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</si>
  <si>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</si>
  <si>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</si>
  <si>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</si>
  <si>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</si>
  <si>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</si>
  <si>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</si>
  <si>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</si>
  <si>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</si>
  <si>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</si>
  <si>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</si>
  <si>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</si>
  <si>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</si>
  <si>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</si>
  <si>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</si>
  <si>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</si>
  <si>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</si>
  <si>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</si>
  <si>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</si>
  <si>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</si>
  <si>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</si>
  <si>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</si>
  <si>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</si>
  <si>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</si>
  <si>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</si>
  <si>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</si>
  <si>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</si>
  <si>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</si>
  <si>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</si>
  <si>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</si>
  <si>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</si>
  <si>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</si>
  <si>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</si>
  <si>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</si>
  <si>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</si>
  <si>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</si>
  <si>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</si>
  <si>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</si>
  <si>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</si>
  <si>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</si>
  <si>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</si>
  <si>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</si>
  <si>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</si>
  <si>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</si>
  <si>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</si>
  <si>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</si>
  <si>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</si>
  <si>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</si>
  <si>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</si>
  <si>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</si>
  <si>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</si>
  <si>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</si>
  <si>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</si>
  <si>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</si>
  <si>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</si>
  <si>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</si>
  <si>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</si>
  <si>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</si>
  <si>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</si>
  <si>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</si>
  <si>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</si>
  <si>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</si>
  <si>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</si>
  <si>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</si>
  <si>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</si>
  <si>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</si>
  <si>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</si>
  <si>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</si>
  <si>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</si>
  <si>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</si>
  <si>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</si>
  <si>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</si>
  <si>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</si>
  <si>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</si>
  <si>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</si>
  <si>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</si>
  <si>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</si>
  <si>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</si>
  <si>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</si>
  <si>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</si>
  <si>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</si>
  <si>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</si>
  <si>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</si>
  <si>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</si>
  <si>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</si>
  <si>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</si>
  <si>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</si>
  <si>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</si>
  <si>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</si>
  <si>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</si>
  <si>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</si>
  <si>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</si>
  <si>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</si>
  <si>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</si>
  <si>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</si>
  <si>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</si>
  <si>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</si>
  <si>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</si>
  <si>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</si>
  <si>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</si>
  <si>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</si>
  <si>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</si>
  <si>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</si>
  <si>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</si>
  <si>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</si>
  <si>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</si>
  <si>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</si>
  <si>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</si>
  <si>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</si>
  <si>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</si>
  <si>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</si>
  <si>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</si>
  <si>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</si>
  <si>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</si>
  <si>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</si>
  <si>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</si>
  <si>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</si>
  <si>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</si>
  <si>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</si>
  <si>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</si>
  <si>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</si>
  <si>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</si>
  <si>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</si>
  <si>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</si>
  <si>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</si>
  <si>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</si>
  <si>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</si>
  <si>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</si>
  <si>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</si>
  <si>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</si>
  <si>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</si>
  <si>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</si>
  <si>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</si>
  <si>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</si>
  <si>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</si>
  <si>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</si>
  <si>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</si>
  <si>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</si>
  <si>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</si>
  <si>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</si>
  <si>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</si>
  <si>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</si>
  <si>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</si>
  <si>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</si>
  <si>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</si>
  <si>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</si>
  <si>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</si>
  <si>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</si>
  <si>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</si>
  <si>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</si>
  <si>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</si>
  <si>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</si>
  <si>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</si>
  <si>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</si>
  <si>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</si>
  <si>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</si>
  <si>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</si>
  <si>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</si>
  <si>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</si>
  <si>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</si>
  <si>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</si>
  <si>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</si>
  <si>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</si>
  <si>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</si>
  <si>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</si>
  <si>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</si>
  <si>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</si>
  <si>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</si>
  <si>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</si>
  <si>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</si>
  <si>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</si>
  <si>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</si>
  <si>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</si>
  <si>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</si>
  <si>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</si>
  <si>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</si>
  <si>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</si>
  <si>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</si>
  <si>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</si>
  <si>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</si>
  <si>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</si>
  <si>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</si>
  <si>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</si>
  <si>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</si>
  <si>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</si>
  <si>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</si>
  <si>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</si>
  <si>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</si>
  <si>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</si>
  <si>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</si>
  <si>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</si>
  <si>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</si>
  <si>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</si>
  <si>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</si>
  <si>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</si>
  <si>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</si>
  <si>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</si>
  <si>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</si>
  <si>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</si>
  <si>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</si>
  <si>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</si>
  <si>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</si>
  <si>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</si>
  <si>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</si>
  <si>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</si>
  <si>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</si>
  <si>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</si>
  <si>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</si>
  <si>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</si>
  <si>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</si>
  <si>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</si>
  <si>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</si>
  <si>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</si>
  <si>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</si>
  <si>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</si>
  <si>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</si>
  <si>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</si>
  <si>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</si>
  <si>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</si>
  <si>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</si>
  <si>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</si>
  <si>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</si>
  <si>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</si>
  <si>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</si>
  <si>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</si>
  <si>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</si>
  <si>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</si>
  <si>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</si>
  <si>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</si>
  <si>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</si>
  <si>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</si>
  <si>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</si>
  <si>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</si>
  <si>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</si>
  <si>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</si>
  <si>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</si>
  <si>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</si>
  <si>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</si>
  <si>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</si>
  <si>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</si>
  <si>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</si>
  <si>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</si>
  <si>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</si>
  <si>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</si>
  <si>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</si>
  <si>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</si>
  <si>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</si>
  <si>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</si>
  <si>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</si>
  <si>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</si>
  <si>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</si>
  <si>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</si>
  <si>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</si>
  <si>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</si>
  <si>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</si>
  <si>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</si>
  <si>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</si>
  <si>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</si>
  <si>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</si>
  <si>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</si>
  <si>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地上</t>
  </si>
  <si>
    <t>底商</t>
  </si>
  <si>
    <t>办公楼</t>
  </si>
  <si>
    <t>地下</t>
  </si>
  <si>
    <t>车库</t>
  </si>
  <si>
    <t>是</t>
  </si>
  <si>
    <t>商业</t>
    <phoneticPr fontId="7" type="noConversion"/>
  </si>
  <si>
    <t>办公</t>
    <phoneticPr fontId="7" type="noConversion"/>
  </si>
  <si>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</si>
  <si>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</si>
  <si>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</si>
  <si>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</si>
  <si>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</si>
  <si>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</si>
  <si>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</si>
  <si>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</si>
  <si>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</si>
  <si>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</si>
  <si>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</si>
  <si>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</si>
  <si>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</si>
  <si>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</si>
  <si>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</si>
  <si>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朝阳中路以北,龙山大道以西</t>
  </si>
  <si>
    <t>平顶山市</t>
  </si>
  <si>
    <t>商业/办公用地</t>
  </si>
  <si>
    <t>小于或等于1.8</t>
  </si>
  <si>
    <t>挂牌</t>
  </si>
  <si>
    <t>2018-07-05</t>
  </si>
  <si>
    <t>河南万客来企业管理有限公司</t>
  </si>
  <si>
    <t>0星</t>
  </si>
  <si>
    <t>新207国道以东,望城路以南</t>
  </si>
  <si>
    <t>小于或等于2</t>
  </si>
  <si>
    <t>2018-06-12</t>
  </si>
  <si>
    <t>河南创世银海岸实业有限公司</t>
  </si>
  <si>
    <t>酒厂路以东、北环路以南</t>
  </si>
  <si>
    <t>大于1并且小于或等于4.5</t>
  </si>
  <si>
    <t>2018-02-27</t>
  </si>
  <si>
    <t>汝州市兰桂坊置业有限公司</t>
  </si>
  <si>
    <t>酒厂路东侧、规划二路南侧</t>
  </si>
  <si>
    <t>大于1并且小于或等于5</t>
  </si>
  <si>
    <t>广成路以南、望嵩路以东</t>
  </si>
  <si>
    <t>2018-02-06</t>
  </si>
  <si>
    <t>汝州市绿洲房地产开发有限公司</t>
  </si>
  <si>
    <t>气象路西侧、文化路南侧</t>
  </si>
  <si>
    <t>河南龙跃实业有限公司</t>
  </si>
  <si>
    <t>防汛路北侧,九龙山东,规划纬十二路南,则天大道西</t>
  </si>
  <si>
    <t>小于或等于1</t>
  </si>
  <si>
    <t>2017-12-06</t>
  </si>
  <si>
    <t>河南水投温泉投资开发有限公司</t>
  </si>
  <si>
    <t>汤王路以西,纬十路以南,则天大道以东,纬八路以北</t>
  </si>
  <si>
    <t>汤王路以西,纬十一路以南,则天大道以东,纬十路以北</t>
  </si>
  <si>
    <t>汤王路以西,纬八路以南,则天大道以东,防汛路以北</t>
  </si>
  <si>
    <t>朝阳路以南、规划三路以西</t>
  </si>
  <si>
    <t>小于或等于3.5</t>
  </si>
  <si>
    <t>2017-09-30</t>
  </si>
  <si>
    <t>汝州市水利投资有限公司</t>
  </si>
  <si>
    <t>南环路以南、云禅大道以东</t>
  </si>
  <si>
    <t>小于或等于0.6</t>
  </si>
  <si>
    <t>2017-09-07</t>
  </si>
  <si>
    <t>河南省天利天然气有限公司</t>
  </si>
  <si>
    <t>朝阳中路以南、规划一路以东</t>
  </si>
  <si>
    <t>汝州市鑫沃土土地管理服务有限公司</t>
  </si>
  <si>
    <t>新207国道以东、望城路以南</t>
  </si>
  <si>
    <t>河南创世银海岸实业集团有限公司</t>
  </si>
  <si>
    <t>广成东路以北、龙山大道以西、朝阳中路以南、云禅大道以东</t>
  </si>
  <si>
    <t>小于或等于5</t>
  </si>
  <si>
    <t>2017-08-02</t>
  </si>
  <si>
    <t>河南省汝海实业有限公司</t>
  </si>
  <si>
    <t>小于或等于1.2</t>
  </si>
  <si>
    <t>龙山大道以东,新207国道以西</t>
  </si>
  <si>
    <t>小于或等于2.5</t>
  </si>
  <si>
    <t>2017-07-20</t>
  </si>
  <si>
    <t>汝州万源实业有限公司</t>
  </si>
  <si>
    <t>广成路以南、广育路以西</t>
  </si>
  <si>
    <t>大于1并且小于或等于2</t>
  </si>
  <si>
    <t>2017-07-07</t>
  </si>
  <si>
    <t>广成路东延以北、规划三路以西</t>
  </si>
  <si>
    <t>2017-05-16</t>
  </si>
  <si>
    <t>汝州市鑫佳房地产开发有限公司</t>
  </si>
  <si>
    <t>龙山大道东侧,气象路南侧</t>
  </si>
  <si>
    <t>2017-02-24</t>
  </si>
  <si>
    <t>汝州市平安保安服务有限公司</t>
  </si>
  <si>
    <t>气象路西侧,禹锡路北侧</t>
  </si>
  <si>
    <t>河南华予金城实业有限公司</t>
  </si>
  <si>
    <t>商业</t>
    <phoneticPr fontId="31" type="noConversion"/>
  </si>
  <si>
    <t>正常</t>
  </si>
  <si>
    <t>未包含在土地购买价格中</t>
  </si>
  <si>
    <t>已包含在土地取得成本中</t>
  </si>
  <si>
    <t>成本法</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</si>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</sst>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0" fillId="5" borderId="0" xfId="0" applyFill="1" applyAlignment="1"/>
    <xf numFmtId="0" fontId="0" fillId="5" borderId="0" xfId="0" applyFill="1">
      <alignment vertical="center"/>
    </xf>
    <xf numFmtId="0" fontId="0" fillId="0" borderId="0" xfId="0" applyFill="1" applyAlignment="1"/>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估价对象为出让国有建设用地使用权及在建建筑物房地产，为所有。根据《国有土地使用证》[]，估价对象（分摊）出让国有建设用地使用权面积为16031.32平方米，建筑面积为62915.38平方米。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16031.32平方米，规划建筑面积为62915.38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2019年1月22日</v>
      </c>
    </row>
    <row r="13" spans="1:2" s="1595" customFormat="1">
      <c r="A13" s="1593" t="s">
        <v>1223</v>
      </c>
      <c r="B13" s="1594"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23136</v>
      </c>
    </row>
    <row r="21" spans="1:2" s="1595" customFormat="1">
      <c r="A21" s="1593" t="s">
        <v>1231</v>
      </c>
      <c r="B21" s="1594">
        <f ca="1">'预评函-2'!D7</f>
        <v>3677</v>
      </c>
    </row>
    <row r="22" spans="1:2" s="1595" customFormat="1">
      <c r="A22" s="1593" t="s">
        <v>1232</v>
      </c>
      <c r="B22" s="1594" t="str">
        <f ca="1">'预评函-2'!D6</f>
        <v>贰亿叁仟壹佰叁拾陆万元整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23136</v>
      </c>
    </row>
    <row r="31" spans="1:2" s="1595" customFormat="1">
      <c r="A31" s="1593" t="s">
        <v>1270</v>
      </c>
      <c r="B31" s="1594">
        <f ca="1">'预评函-2'!D15</f>
        <v>3677</v>
      </c>
    </row>
    <row r="32" spans="1:2" s="1595" customFormat="1">
      <c r="A32" s="1593" t="s">
        <v>1237</v>
      </c>
      <c r="B32" s="1594" t="str">
        <f ca="1">'预评函-2'!D14</f>
        <v>贰亿叁仟壹佰叁拾陆万元整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62915.380000000005</v>
      </c>
    </row>
    <row r="44" spans="1:2" s="1595" customFormat="1">
      <c r="A44" s="1593" t="s">
        <v>1269</v>
      </c>
      <c r="B44" s="1594" t="str">
        <f>'预评函-3'!C2</f>
        <v>(分摊)土地面积</v>
      </c>
    </row>
    <row r="45" spans="1:2" s="1595" customFormat="1">
      <c r="A45" s="1593" t="s">
        <v>1241</v>
      </c>
      <c r="B45" s="1594">
        <f>'预评函-3'!C4</f>
        <v>16031.32</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2994"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4" t="s">
        <v>861</v>
      </c>
      <c r="C54" s="2021" t="s">
        <v>1277</v>
      </c>
    </row>
    <row r="55" spans="1:4">
      <c r="A55" s="2994"/>
      <c r="B55" s="2024" t="s">
        <v>862</v>
      </c>
      <c r="C55" s="2021" t="s">
        <v>1278</v>
      </c>
    </row>
    <row r="56" spans="1:4">
      <c r="A56" s="2994"/>
      <c r="B56" s="2024" t="s">
        <v>863</v>
      </c>
      <c r="C56" s="2021" t="s">
        <v>1282</v>
      </c>
    </row>
    <row r="57" spans="1:4">
      <c r="A57" s="2994"/>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14" sqref="F1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2995" t="str">
        <f>IF(B10="北京市","北京市",C10)&amp;F10&amp;IF(结果表!G1="在建","出让国有建设用地使用权及在建建筑物",IF(结果表!G1="土地","出让国有建设用地使用权",))&amp;B9&amp;"预评估"</f>
        <v>出让国有建设用地使用权及在建建筑物预评估</v>
      </c>
      <c r="C1" s="2996"/>
      <c r="D1" s="2996"/>
      <c r="E1" s="2996"/>
      <c r="F1" s="2996"/>
      <c r="G1" s="2996"/>
      <c r="H1" s="2996"/>
      <c r="I1" s="299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c r="C3" s="2039" t="s">
        <v>1775</v>
      </c>
      <c r="D3" s="2038">
        <v>43487</v>
      </c>
      <c r="E3" s="2028"/>
      <c r="F3" s="2028"/>
      <c r="G3" s="2028"/>
      <c r="H3" s="2028"/>
      <c r="I3" s="2028"/>
      <c r="J3" s="2028"/>
      <c r="K3" s="2029"/>
      <c r="L3" s="2030"/>
      <c r="M3" s="2030"/>
      <c r="N3" s="2031"/>
      <c r="O3" s="2032"/>
      <c r="P3" s="2031"/>
      <c r="Q3" s="2031"/>
      <c r="R3" s="2031"/>
      <c r="S3" s="2033"/>
    </row>
    <row r="4" spans="1:19" ht="18" customHeight="1" thickBot="1">
      <c r="A4" s="2040" t="s">
        <v>1776</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2998"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2999"/>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3054</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57271</v>
      </c>
      <c r="F13" s="2082">
        <v>60923</v>
      </c>
      <c r="G13" s="2082">
        <v>60923</v>
      </c>
      <c r="H13" s="2082"/>
      <c r="I13" s="1050"/>
      <c r="J13" s="2044"/>
      <c r="K13" s="2056"/>
      <c r="L13" s="2030"/>
      <c r="M13" s="2030"/>
      <c r="N13" s="2031"/>
      <c r="O13" s="2032"/>
      <c r="P13" s="2031"/>
      <c r="Q13" s="2031"/>
      <c r="R13" s="2031"/>
    </row>
    <row r="14" spans="1:19" ht="18" customHeight="1">
      <c r="A14" s="2079"/>
      <c r="B14" s="2080"/>
      <c r="C14" s="2081" t="s">
        <v>1795</v>
      </c>
      <c r="D14" s="1053"/>
      <c r="E14" s="1053">
        <v>40</v>
      </c>
      <c r="F14" s="1053">
        <v>50</v>
      </c>
      <c r="G14" s="1053">
        <v>50</v>
      </c>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f>IF(B12="出让",IF(E13="","",ROUNDDOWN(MIN((E13-$D$3)/365,E14),2)),E14)</f>
        <v>37.76</v>
      </c>
      <c r="F15" s="1052">
        <f>IF(B12="出让",IF(F13="","",ROUNDDOWN(MIN((F13-$D$3)/365,F14),2)),F14)</f>
        <v>47.76</v>
      </c>
      <c r="G15" s="1052">
        <f>IF(B12="出让",IF(G13="","",ROUNDDOWN(MIN((G13-$D$3)/365,G14),2)),G14)</f>
        <v>47.76</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05"/>
      <c r="C16" s="3006"/>
      <c r="D16" s="3007"/>
      <c r="E16" s="2088" t="s">
        <v>1798</v>
      </c>
      <c r="F16" s="3008"/>
      <c r="G16" s="3009"/>
      <c r="H16" s="3009"/>
      <c r="I16" s="3010"/>
      <c r="J16" s="2031"/>
      <c r="K16" s="2085"/>
      <c r="L16" s="2086"/>
      <c r="M16" s="2086"/>
      <c r="N16" s="2087"/>
      <c r="O16" s="2086"/>
      <c r="P16" s="2087"/>
      <c r="Q16" s="2031"/>
      <c r="R16" s="2031"/>
    </row>
    <row r="17" spans="1:22" ht="18" customHeight="1">
      <c r="A17" s="2089" t="s">
        <v>1799</v>
      </c>
      <c r="B17" s="2037" t="s">
        <v>1800</v>
      </c>
      <c r="C17" s="1057">
        <f>'数据-汇总表'!E3</f>
        <v>62915.380000000005</v>
      </c>
      <c r="D17" s="2090" t="s">
        <v>1801</v>
      </c>
      <c r="E17" s="3011" t="s">
        <v>1802</v>
      </c>
      <c r="F17" s="3012"/>
      <c r="G17" s="3012"/>
      <c r="H17" s="3012"/>
      <c r="I17" s="3013"/>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16031.32</v>
      </c>
      <c r="D18" s="2093" t="s">
        <v>1801</v>
      </c>
      <c r="E18" s="3014" t="s">
        <v>1805</v>
      </c>
      <c r="F18" s="3015"/>
      <c r="G18" s="3015"/>
      <c r="H18" s="3015"/>
      <c r="I18" s="3016"/>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01" t="s">
        <v>1810</v>
      </c>
      <c r="C20" s="3002"/>
      <c r="D20" s="3003" t="s">
        <v>1811</v>
      </c>
      <c r="E20" s="3004"/>
      <c r="F20" s="2100" t="s">
        <v>1812</v>
      </c>
      <c r="G20" s="2044"/>
      <c r="H20" s="2044"/>
      <c r="I20" s="2044"/>
      <c r="J20" s="2044"/>
      <c r="K20" s="300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18"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18"/>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18"/>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19"/>
      <c r="B30" s="2037" t="s">
        <v>1829</v>
      </c>
      <c r="C30" s="3020"/>
      <c r="D30" s="3021"/>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2"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3"/>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3"/>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17" t="s">
        <v>1839</v>
      </c>
      <c r="T34" s="2137" t="str">
        <f>NUMBERSTRING(7-K34,1)&amp;"通"</f>
        <v>七通</v>
      </c>
      <c r="U34" s="2031"/>
      <c r="V34" s="2031"/>
    </row>
    <row r="35" spans="1:22" ht="18" customHeight="1">
      <c r="A35" s="2138"/>
      <c r="B35" s="3024" t="s">
        <v>1840</v>
      </c>
      <c r="C35" s="3024"/>
      <c r="D35" s="3024"/>
      <c r="E35" s="3024"/>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17381.8</v>
      </c>
      <c r="B3" s="14">
        <f>IF(C3="否",G5-AT5,G5)</f>
        <v>68215.38</v>
      </c>
      <c r="C3" s="2171" t="s">
        <v>3060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5"/>
      <c r="C5" s="1805"/>
      <c r="D5" s="1808"/>
      <c r="E5" s="16" t="s">
        <v>1</v>
      </c>
      <c r="F5" s="16">
        <f>SUM(F13:F587)</f>
        <v>0</v>
      </c>
      <c r="G5" s="16">
        <f>SUM(G13:G587)</f>
        <v>68215.38</v>
      </c>
      <c r="H5" s="16">
        <f t="shared" ref="H5:AT5" si="0">SUM(H13:H656)</f>
        <v>62573.19</v>
      </c>
      <c r="I5" s="16">
        <f t="shared" si="0"/>
        <v>14649.77</v>
      </c>
      <c r="J5" s="16">
        <f t="shared" si="0"/>
        <v>0</v>
      </c>
      <c r="K5" s="16">
        <f t="shared" si="0"/>
        <v>33200.39</v>
      </c>
      <c r="L5" s="16">
        <f t="shared" si="0"/>
        <v>0</v>
      </c>
      <c r="M5" s="16">
        <f t="shared" si="0"/>
        <v>14723.029999999999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342.19000000000597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342.19000000000597</v>
      </c>
      <c r="AO5" s="16">
        <f t="shared" si="0"/>
        <v>0</v>
      </c>
      <c r="AP5" s="16">
        <f t="shared" si="0"/>
        <v>0</v>
      </c>
      <c r="AQ5" s="16">
        <f t="shared" si="0"/>
        <v>0</v>
      </c>
      <c r="AR5" s="16">
        <f t="shared" si="0"/>
        <v>0</v>
      </c>
      <c r="AS5" s="16">
        <f t="shared" si="0"/>
        <v>0</v>
      </c>
      <c r="AT5" s="16">
        <f t="shared" si="0"/>
        <v>5300</v>
      </c>
      <c r="AU5" s="1804"/>
      <c r="AV5" s="15" t="s">
        <v>1875</v>
      </c>
      <c r="AW5" s="1805"/>
      <c r="AX5" s="1805"/>
      <c r="AY5" s="17" t="s">
        <v>3</v>
      </c>
      <c r="AZ5" s="18">
        <f t="shared" ref="AZ5:BT5" si="1">SUM(AZ13:AZ656)</f>
        <v>62915.380000000005</v>
      </c>
      <c r="BA5" s="18">
        <f t="shared" si="1"/>
        <v>62573.19</v>
      </c>
      <c r="BB5" s="18">
        <f t="shared" si="1"/>
        <v>14649.77</v>
      </c>
      <c r="BC5" s="18">
        <f t="shared" si="1"/>
        <v>33200.39</v>
      </c>
      <c r="BD5" s="18">
        <f t="shared" si="1"/>
        <v>14723.029999999999</v>
      </c>
      <c r="BE5" s="18">
        <f t="shared" si="1"/>
        <v>0</v>
      </c>
      <c r="BF5" s="18">
        <f t="shared" si="1"/>
        <v>0</v>
      </c>
      <c r="BG5" s="18">
        <f t="shared" si="1"/>
        <v>0</v>
      </c>
      <c r="BH5" s="18">
        <f t="shared" si="1"/>
        <v>0</v>
      </c>
      <c r="BI5" s="18">
        <f t="shared" si="1"/>
        <v>0</v>
      </c>
      <c r="BJ5" s="18">
        <f t="shared" si="1"/>
        <v>0</v>
      </c>
      <c r="BK5" s="18">
        <f t="shared" si="1"/>
        <v>0</v>
      </c>
      <c r="BL5" s="18">
        <f t="shared" si="1"/>
        <v>342.19000000000597</v>
      </c>
      <c r="BM5" s="18">
        <f t="shared" si="1"/>
        <v>0</v>
      </c>
      <c r="BN5" s="18">
        <f t="shared" si="1"/>
        <v>0</v>
      </c>
      <c r="BO5" s="18">
        <f t="shared" si="1"/>
        <v>0</v>
      </c>
      <c r="BP5" s="18">
        <f t="shared" si="1"/>
        <v>0</v>
      </c>
      <c r="BQ5" s="18">
        <f t="shared" si="1"/>
        <v>0</v>
      </c>
      <c r="BR5" s="18">
        <f t="shared" si="1"/>
        <v>342.19000000000597</v>
      </c>
      <c r="BS5" s="18">
        <f t="shared" si="1"/>
        <v>0</v>
      </c>
      <c r="BT5" s="19">
        <f t="shared" si="1"/>
        <v>0</v>
      </c>
    </row>
    <row r="6" spans="1:72" s="2180" customFormat="1" ht="12.75">
      <c r="A6" s="15" t="s">
        <v>1876</v>
      </c>
      <c r="B6" s="2177"/>
      <c r="C6" s="2177"/>
      <c r="D6" s="2178"/>
      <c r="E6" s="16">
        <f>H6+AC6+AT6</f>
        <v>17381.79</v>
      </c>
      <c r="F6" s="16" t="s">
        <v>1</v>
      </c>
      <c r="G6" s="16" t="s">
        <v>2</v>
      </c>
      <c r="H6" s="20">
        <f>SUMIF(I$12:AB$12,"总值",I6:AB6)</f>
        <v>15944.119999999999</v>
      </c>
      <c r="I6" s="16">
        <f t="shared" ref="I6:AB6" si="2">ROUND($A$3*I5/$B$3,2)</f>
        <v>3732.87</v>
      </c>
      <c r="J6" s="16">
        <f t="shared" si="2"/>
        <v>0</v>
      </c>
      <c r="K6" s="16">
        <f t="shared" si="2"/>
        <v>8459.7099999999991</v>
      </c>
      <c r="L6" s="16">
        <f t="shared" si="2"/>
        <v>0</v>
      </c>
      <c r="M6" s="16">
        <f t="shared" si="2"/>
        <v>3751.54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87.19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87.19</v>
      </c>
      <c r="AO6" s="16">
        <f t="shared" si="3"/>
        <v>0</v>
      </c>
      <c r="AP6" s="16">
        <f t="shared" si="3"/>
        <v>0</v>
      </c>
      <c r="AQ6" s="16">
        <f t="shared" si="3"/>
        <v>0</v>
      </c>
      <c r="AR6" s="16">
        <f t="shared" si="3"/>
        <v>0</v>
      </c>
      <c r="AS6" s="16">
        <f t="shared" si="3"/>
        <v>0</v>
      </c>
      <c r="AT6" s="20">
        <f>IF(C3="是",ROUND($A$3*AT5/$B$3,2),0)</f>
        <v>1350.48</v>
      </c>
      <c r="AU6" s="2179"/>
      <c r="AV6" s="15" t="s">
        <v>1876</v>
      </c>
      <c r="AW6" s="2177"/>
      <c r="AX6" s="2177"/>
      <c r="AY6" s="21">
        <f>IF(AY3&gt;0,AY3,ROUND($A$3*AZ5/$B$3,2))</f>
        <v>16031.32</v>
      </c>
      <c r="AZ6" s="16" t="s">
        <v>3</v>
      </c>
      <c r="BA6" s="16">
        <f>ROUND($AY$6*BA5/$AZ$5,2)</f>
        <v>15944.13</v>
      </c>
      <c r="BB6" s="16">
        <f>ROUND($AY$6*BB5/$AZ$5,2)</f>
        <v>3732.87</v>
      </c>
      <c r="BC6" s="16">
        <f t="shared" ref="BC6:BH6" si="4">ROUND($AY$6*BC5/$AZ$5,2)</f>
        <v>8459.7099999999991</v>
      </c>
      <c r="BD6" s="16">
        <f t="shared" si="4"/>
        <v>3751.54</v>
      </c>
      <c r="BE6" s="16">
        <f t="shared" si="4"/>
        <v>0</v>
      </c>
      <c r="BF6" s="16">
        <f t="shared" si="4"/>
        <v>0</v>
      </c>
      <c r="BG6" s="16">
        <f t="shared" si="4"/>
        <v>0</v>
      </c>
      <c r="BH6" s="16">
        <f t="shared" si="4"/>
        <v>0</v>
      </c>
      <c r="BI6" s="16">
        <f t="shared" ref="BI6:BT6" si="5">ROUND($AY$6*BI5/$AZ$5,2)</f>
        <v>0</v>
      </c>
      <c r="BJ6" s="16">
        <f t="shared" si="5"/>
        <v>0</v>
      </c>
      <c r="BK6" s="16">
        <f t="shared" si="5"/>
        <v>0</v>
      </c>
      <c r="BL6" s="16">
        <f t="shared" si="5"/>
        <v>87.19</v>
      </c>
      <c r="BM6" s="16">
        <f t="shared" si="5"/>
        <v>0</v>
      </c>
      <c r="BN6" s="16">
        <f t="shared" si="5"/>
        <v>0</v>
      </c>
      <c r="BO6" s="16">
        <f t="shared" si="5"/>
        <v>0</v>
      </c>
      <c r="BP6" s="16">
        <f t="shared" si="5"/>
        <v>0</v>
      </c>
      <c r="BQ6" s="16">
        <f t="shared" si="5"/>
        <v>0</v>
      </c>
      <c r="BR6" s="16">
        <f t="shared" si="5"/>
        <v>87.19</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1884</v>
      </c>
      <c r="AV7" s="23" t="s">
        <v>1885</v>
      </c>
      <c r="AW7" s="2169" t="s">
        <v>1886</v>
      </c>
      <c r="AX7" s="23" t="s">
        <v>1879</v>
      </c>
      <c r="AY7" s="1805"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0"/>
      <c r="K8" s="1820"/>
      <c r="L8" s="1820"/>
      <c r="M8" s="1820"/>
      <c r="N8" s="1820"/>
      <c r="O8" s="1820"/>
      <c r="P8" s="1820"/>
      <c r="Q8" s="1820"/>
      <c r="R8" s="1820"/>
      <c r="S8" s="1820"/>
      <c r="T8" s="1820"/>
      <c r="U8" s="1820"/>
      <c r="V8" s="2189"/>
      <c r="W8" s="1820"/>
      <c r="X8" s="1820"/>
      <c r="Y8" s="1820"/>
      <c r="Z8" s="1820"/>
      <c r="AA8" s="2189"/>
      <c r="AB8" s="2190"/>
      <c r="AC8" s="984" t="s">
        <v>1890</v>
      </c>
      <c r="AD8" s="2191"/>
      <c r="AE8" s="2183"/>
      <c r="AF8" s="1820"/>
      <c r="AG8" s="1820"/>
      <c r="AH8" s="1820"/>
      <c r="AI8" s="1820"/>
      <c r="AJ8" s="1820"/>
      <c r="AK8" s="1820"/>
      <c r="AL8" s="1820"/>
      <c r="AM8" s="1820"/>
      <c r="AN8" s="1820"/>
      <c r="AO8" s="1820"/>
      <c r="AP8" s="1820"/>
      <c r="AQ8" s="1820"/>
      <c r="AR8" s="1820"/>
      <c r="AS8" s="1820"/>
      <c r="AT8" s="1295" t="s">
        <v>1891</v>
      </c>
      <c r="AU8" s="2185" t="s">
        <v>1892</v>
      </c>
      <c r="AV8" s="1295"/>
      <c r="AW8" s="2168"/>
      <c r="AX8" s="1295"/>
      <c r="AY8" s="2169"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1895</v>
      </c>
      <c r="I9" s="2194" t="s">
        <v>3055</v>
      </c>
      <c r="J9" s="984"/>
      <c r="K9" s="2194" t="s">
        <v>3055</v>
      </c>
      <c r="L9" s="984"/>
      <c r="M9" s="2194" t="s">
        <v>3058</v>
      </c>
      <c r="N9" s="984"/>
      <c r="O9" s="2194"/>
      <c r="P9" s="984"/>
      <c r="Q9" s="2194"/>
      <c r="R9" s="984"/>
      <c r="S9" s="2194"/>
      <c r="T9" s="984"/>
      <c r="U9" s="2194"/>
      <c r="V9" s="984"/>
      <c r="W9" s="2194"/>
      <c r="X9" s="2195"/>
      <c r="Y9" s="2194"/>
      <c r="Z9" s="984"/>
      <c r="AA9" s="2194"/>
      <c r="AB9" s="984"/>
      <c r="AC9" s="2186"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6"/>
      <c r="AT9" s="2185"/>
      <c r="AU9" s="2185" t="s">
        <v>1898</v>
      </c>
      <c r="AV9" s="1295"/>
      <c r="AW9" s="2168"/>
      <c r="AX9" s="1295"/>
      <c r="AY9" s="28"/>
      <c r="AZ9" s="28" t="s">
        <v>1888</v>
      </c>
      <c r="BA9" s="2197" t="s">
        <v>1899</v>
      </c>
      <c r="BB9" s="2198"/>
      <c r="BC9" s="1341"/>
      <c r="BD9" s="1341"/>
      <c r="BE9" s="1341"/>
      <c r="BF9" s="1341"/>
      <c r="BG9" s="1341"/>
      <c r="BH9" s="1341"/>
      <c r="BI9" s="1341"/>
      <c r="BJ9" s="1341"/>
      <c r="BK9" s="2199"/>
      <c r="BL9" s="15" t="s">
        <v>1900</v>
      </c>
      <c r="BM9" s="1820"/>
      <c r="BN9" s="2188"/>
      <c r="BO9" s="1820"/>
      <c r="BP9" s="1820"/>
      <c r="BQ9" s="1820"/>
      <c r="BR9" s="1820"/>
      <c r="BS9" s="1820"/>
      <c r="BT9" s="26"/>
    </row>
    <row r="10" spans="1:72" s="2192" customFormat="1" ht="12.75">
      <c r="A10" s="2185"/>
      <c r="B10" s="2185"/>
      <c r="C10" s="2185"/>
      <c r="D10" s="2185"/>
      <c r="E10" s="2185"/>
      <c r="F10" s="2185"/>
      <c r="G10" s="1295"/>
      <c r="H10" s="28"/>
      <c r="I10" s="2194" t="s">
        <v>1373</v>
      </c>
      <c r="J10" s="984"/>
      <c r="K10" s="2200" t="s">
        <v>1373</v>
      </c>
      <c r="L10" s="984"/>
      <c r="M10" s="2200" t="s">
        <v>3059</v>
      </c>
      <c r="N10" s="984"/>
      <c r="O10" s="2200"/>
      <c r="P10" s="984"/>
      <c r="Q10" s="2200"/>
      <c r="R10" s="984"/>
      <c r="S10" s="2200"/>
      <c r="T10" s="984"/>
      <c r="U10" s="2200"/>
      <c r="V10" s="984"/>
      <c r="W10" s="2200"/>
      <c r="X10" s="984"/>
      <c r="Y10" s="2200"/>
      <c r="Z10" s="984"/>
      <c r="AA10" s="2200"/>
      <c r="AB10" s="984"/>
      <c r="AC10" s="1295"/>
      <c r="AD10" s="15" t="s">
        <v>1901</v>
      </c>
      <c r="AE10" s="2201"/>
      <c r="AF10" s="15" t="s">
        <v>1901</v>
      </c>
      <c r="AG10" s="2201"/>
      <c r="AH10" s="15" t="s">
        <v>1902</v>
      </c>
      <c r="AI10" s="2201"/>
      <c r="AJ10" s="15" t="s">
        <v>1902</v>
      </c>
      <c r="AK10" s="2201"/>
      <c r="AL10" s="15" t="s">
        <v>1903</v>
      </c>
      <c r="AM10" s="1301"/>
      <c r="AN10" s="15" t="s">
        <v>1903</v>
      </c>
      <c r="AO10" s="1301"/>
      <c r="AP10" s="15" t="s">
        <v>1904</v>
      </c>
      <c r="AQ10" s="1301"/>
      <c r="AR10" s="15" t="s">
        <v>1904</v>
      </c>
      <c r="AS10" s="1301"/>
      <c r="AT10" s="2185"/>
      <c r="AU10" s="2185"/>
      <c r="AV10" s="1295"/>
      <c r="AW10" s="2168"/>
      <c r="AX10" s="1295"/>
      <c r="AY10" s="28"/>
      <c r="AZ10" s="28"/>
      <c r="BA10" s="2202" t="s">
        <v>1895</v>
      </c>
      <c r="BB10" s="2203"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3056</v>
      </c>
      <c r="J11" s="2206"/>
      <c r="K11" s="2205" t="s">
        <v>3057</v>
      </c>
      <c r="L11" s="2206"/>
      <c r="M11" s="2205" t="s">
        <v>3059</v>
      </c>
      <c r="N11" s="2206"/>
      <c r="O11" s="2205"/>
      <c r="P11" s="2206"/>
      <c r="Q11" s="2205"/>
      <c r="R11" s="2206"/>
      <c r="S11" s="2205"/>
      <c r="T11" s="2206"/>
      <c r="U11" s="2205"/>
      <c r="V11" s="2206"/>
      <c r="W11" s="2205"/>
      <c r="X11" s="2206"/>
      <c r="Y11" s="2205"/>
      <c r="Z11" s="2206"/>
      <c r="AA11" s="2205"/>
      <c r="AB11" s="2206"/>
      <c r="AC11" s="1295"/>
      <c r="AD11" s="2207" t="s">
        <v>1905</v>
      </c>
      <c r="AE11" s="1821"/>
      <c r="AF11" s="2207" t="s">
        <v>1905</v>
      </c>
      <c r="AG11" s="1821"/>
      <c r="AH11" s="2207" t="s">
        <v>1906</v>
      </c>
      <c r="AI11" s="2208"/>
      <c r="AJ11" s="2207" t="s">
        <v>1906</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t="str">
        <f>M10</f>
        <v>车库</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2"/>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t="str">
        <f>I11</f>
        <v>底商</v>
      </c>
      <c r="BC12" s="2215" t="str">
        <f>K11</f>
        <v>办公楼</v>
      </c>
      <c r="BD12" s="2215" t="str">
        <f>M11</f>
        <v>车库</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3060</v>
      </c>
      <c r="E13" s="16">
        <f>IF($C$3="是",ROUND($A$3*G13/$B$3,2),ROUND($A$3*(G13-AT13)/$B$3,2))</f>
        <v>17381.8</v>
      </c>
      <c r="F13" s="32"/>
      <c r="G13" s="33">
        <f>H13+AC13+AT13</f>
        <v>68215.38</v>
      </c>
      <c r="H13" s="20">
        <f>SUMIF(I$12:AB$12,"总值",I13:AB13)</f>
        <v>62573.19</v>
      </c>
      <c r="I13" s="2217">
        <v>14649.77</v>
      </c>
      <c r="J13" s="2217"/>
      <c r="K13" s="2217">
        <v>33200.39</v>
      </c>
      <c r="L13" s="2217"/>
      <c r="M13" s="2217">
        <f>20023.03-AT13</f>
        <v>14723.029999999999</v>
      </c>
      <c r="N13" s="2217"/>
      <c r="O13" s="2217"/>
      <c r="P13" s="2217"/>
      <c r="Q13" s="2217"/>
      <c r="R13" s="2217"/>
      <c r="S13" s="2217"/>
      <c r="T13" s="2217"/>
      <c r="U13" s="2217"/>
      <c r="V13" s="2217"/>
      <c r="W13" s="2217"/>
      <c r="X13" s="2217"/>
      <c r="Y13" s="2217"/>
      <c r="Z13" s="2217"/>
      <c r="AA13" s="2217"/>
      <c r="AB13" s="2217"/>
      <c r="AC13" s="16">
        <f>SUMIF(AD$12:AS$12,"总值",AD13:AS13)</f>
        <v>342.19000000000597</v>
      </c>
      <c r="AD13" s="2218"/>
      <c r="AE13" s="2218"/>
      <c r="AF13" s="2218"/>
      <c r="AG13" s="2218"/>
      <c r="AH13" s="2218"/>
      <c r="AI13" s="2218"/>
      <c r="AJ13" s="2218"/>
      <c r="AK13" s="2218"/>
      <c r="AL13" s="2218"/>
      <c r="AM13" s="2218"/>
      <c r="AN13" s="2218">
        <f>68215.38-AT13-M13-K13-I13</f>
        <v>342.19000000000597</v>
      </c>
      <c r="AO13" s="2218"/>
      <c r="AP13" s="2218"/>
      <c r="AQ13" s="2218"/>
      <c r="AR13" s="2218"/>
      <c r="AS13" s="2218"/>
      <c r="AT13" s="2219">
        <v>5300</v>
      </c>
      <c r="AU13" s="2220"/>
      <c r="AV13" s="11">
        <f t="shared" ref="AV13:AX17" si="6">A13</f>
        <v>0</v>
      </c>
      <c r="AW13" s="11">
        <f t="shared" si="6"/>
        <v>0</v>
      </c>
      <c r="AX13" s="11">
        <f t="shared" si="6"/>
        <v>0</v>
      </c>
      <c r="AY13" s="1808">
        <f>ROUND($AY$6*AZ13/$AZ$5,2)</f>
        <v>16031.32</v>
      </c>
      <c r="AZ13" s="16">
        <f>BA13+BL13</f>
        <v>62915.380000000005</v>
      </c>
      <c r="BA13" s="16">
        <f>SUM(BB13:BK13)</f>
        <v>62573.19</v>
      </c>
      <c r="BB13" s="16">
        <f>IF($D13="是",I13-J13,0)</f>
        <v>14649.77</v>
      </c>
      <c r="BC13" s="16">
        <f>IF($D13="是",K13-L13,0)</f>
        <v>33200.39</v>
      </c>
      <c r="BD13" s="16">
        <f>IF($D13="是",M13-N13,0)</f>
        <v>14723.029999999999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342.19000000000597</v>
      </c>
      <c r="BM13" s="16">
        <f>IF($D13="是",AD13-AE13,0)</f>
        <v>0</v>
      </c>
      <c r="BN13" s="16">
        <f>IF($D13="是",AF13-AG13,0)</f>
        <v>0</v>
      </c>
      <c r="BO13" s="16">
        <f>IF($D13="是",AH13-AI13,0)</f>
        <v>0</v>
      </c>
      <c r="BP13" s="16">
        <f>IF($D13="是",AJ13-AK13,0)</f>
        <v>0</v>
      </c>
      <c r="BQ13" s="16">
        <f>IF($D13="是",AL13-AM13,0)</f>
        <v>0</v>
      </c>
      <c r="BR13" s="16">
        <f>IF($D13="是",AN13-AO13,0)</f>
        <v>342.19000000000597</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30" t="s">
        <v>1912</v>
      </c>
      <c r="F2" s="1395"/>
      <c r="G2" s="2231"/>
      <c r="H2" s="2232"/>
      <c r="I2" s="2233" t="s">
        <v>1936</v>
      </c>
      <c r="J2" s="1395"/>
      <c r="K2" s="1395"/>
      <c r="L2" s="1395"/>
      <c r="M2" s="1395"/>
      <c r="N2" s="1430"/>
      <c r="O2" s="1395"/>
      <c r="P2" s="1395"/>
    </row>
    <row r="3" spans="1:16" ht="15.75" thickBot="1">
      <c r="A3" s="3037" t="s">
        <v>1909</v>
      </c>
      <c r="B3" s="3037"/>
      <c r="C3" s="3037"/>
      <c r="D3" s="46">
        <f>'数据-基础表'!AY6</f>
        <v>16031.32</v>
      </c>
      <c r="E3" s="46">
        <f>'数据-基础表'!AZ5</f>
        <v>62915.380000000005</v>
      </c>
      <c r="F3" s="1395"/>
      <c r="G3" s="1402"/>
      <c r="H3" s="1250" t="s">
        <v>1910</v>
      </c>
      <c r="I3" s="55">
        <f>ROUND('数据-基础表'!B3/'数据-基础表'!A3,2)</f>
        <v>3.92</v>
      </c>
      <c r="J3" s="1395"/>
      <c r="K3" s="1395"/>
      <c r="L3" s="1395"/>
      <c r="M3" s="1395"/>
      <c r="N3" s="1430"/>
      <c r="O3" s="1395"/>
      <c r="P3" s="1395"/>
    </row>
    <row r="4" spans="1:16" ht="15">
      <c r="A4" s="3038"/>
      <c r="B4" s="3039"/>
      <c r="C4" s="3040"/>
      <c r="D4" s="2234" t="s">
        <v>1911</v>
      </c>
      <c r="E4" s="2235" t="s">
        <v>1912</v>
      </c>
      <c r="F4" s="1395"/>
      <c r="G4" s="2236" t="s">
        <v>1937</v>
      </c>
      <c r="H4" s="1250" t="s">
        <v>1917</v>
      </c>
      <c r="I4" s="55">
        <f>ROUND(SUMIF('数据-基础表'!I9:AS9,"地上",'数据-基础表'!I5:AS5)/'数据-基础表'!A3,2)</f>
        <v>2.75</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f>ROUND(E31/D31,2)</f>
        <v>3.92</v>
      </c>
      <c r="J5" s="1395"/>
      <c r="K5" s="1395"/>
      <c r="L5" s="1395"/>
      <c r="M5" s="1395"/>
      <c r="N5" s="1395"/>
      <c r="O5" s="1395"/>
      <c r="P5" s="1395"/>
    </row>
    <row r="6" spans="1:16" ht="15" thickBot="1">
      <c r="A6" s="2237"/>
      <c r="B6" s="3041" t="s">
        <v>1915</v>
      </c>
      <c r="C6" s="3041"/>
      <c r="D6" s="48">
        <f>ROUND($D$3*E6/$E$3,2)</f>
        <v>16031.32</v>
      </c>
      <c r="E6" s="49">
        <f>E3-E5</f>
        <v>62915.380000000005</v>
      </c>
      <c r="F6" s="1395"/>
      <c r="G6" s="2238" t="s">
        <v>1916</v>
      </c>
      <c r="H6" s="1402" t="s">
        <v>1917</v>
      </c>
      <c r="I6" s="942">
        <f>ROUND(F31/D31,2)</f>
        <v>2.98</v>
      </c>
      <c r="J6" s="1395"/>
      <c r="K6" s="1395"/>
      <c r="L6" s="1395"/>
      <c r="M6" s="1395"/>
      <c r="N6" s="1395"/>
      <c r="O6" s="1395"/>
      <c r="P6" s="1395"/>
    </row>
    <row r="7" spans="1:16" ht="15">
      <c r="A7" s="3033"/>
      <c r="B7" s="3034"/>
      <c r="C7" s="3035"/>
      <c r="D7" s="2234" t="s">
        <v>1911</v>
      </c>
      <c r="E7" s="2239" t="s">
        <v>1918</v>
      </c>
      <c r="F7" s="1395"/>
      <c r="G7" s="2231" t="s">
        <v>1919</v>
      </c>
      <c r="H7" s="64"/>
      <c r="I7" s="420"/>
      <c r="J7" s="1395"/>
      <c r="K7" s="1395"/>
      <c r="L7" s="1395"/>
      <c r="M7" s="1395"/>
      <c r="N7" s="1395"/>
      <c r="O7" s="1395"/>
      <c r="P7" s="1395"/>
    </row>
    <row r="8" spans="1:16">
      <c r="A8" s="47" t="s">
        <v>1920</v>
      </c>
      <c r="B8" s="50" t="s">
        <v>1921</v>
      </c>
      <c r="C8" s="48" t="s">
        <v>1922</v>
      </c>
      <c r="D8" s="48">
        <f t="shared" ref="D8:D15" si="0">ROUND($D$3*E8/$E$3,2)</f>
        <v>12192.59</v>
      </c>
      <c r="E8" s="51">
        <f>SUMIF('数据-基础表'!BB10:BK10,"地上",'数据-基础表'!BB5:BK5)</f>
        <v>47850.16</v>
      </c>
      <c r="F8" s="1395"/>
      <c r="G8" s="2240"/>
      <c r="H8" s="2240"/>
      <c r="I8" s="1395"/>
      <c r="J8" s="1395"/>
      <c r="K8" s="1395"/>
      <c r="L8" s="1395"/>
      <c r="M8" s="1395"/>
      <c r="N8" s="1395"/>
      <c r="O8" s="1395"/>
      <c r="P8" s="1395"/>
    </row>
    <row r="9" spans="1:16">
      <c r="A9" s="2241"/>
      <c r="B9" s="2242"/>
      <c r="C9" s="48" t="s">
        <v>1923</v>
      </c>
      <c r="D9" s="48">
        <f t="shared" si="0"/>
        <v>0</v>
      </c>
      <c r="E9" s="52">
        <v>0</v>
      </c>
      <c r="F9" s="1395"/>
      <c r="G9" s="2240"/>
      <c r="H9" s="2240"/>
      <c r="I9" s="1395"/>
      <c r="J9" s="1395"/>
      <c r="K9" s="1395"/>
      <c r="L9" s="1395"/>
      <c r="M9" s="1395"/>
      <c r="N9" s="1395"/>
      <c r="O9" s="1395"/>
      <c r="P9" s="1395"/>
    </row>
    <row r="10" spans="1:16">
      <c r="A10" s="2241"/>
      <c r="B10" s="2242"/>
      <c r="C10" s="48" t="s">
        <v>1932</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1924</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1925</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1926</v>
      </c>
      <c r="D13" s="48">
        <f t="shared" si="0"/>
        <v>3751.54</v>
      </c>
      <c r="E13" s="51">
        <f>SUMPRODUCT(('数据-基础表'!BB10:BK10="地下")*('数据-基础表'!BB11:BK11="车库")*('数据-基础表'!BB5:BK5))</f>
        <v>14723.029999999999</v>
      </c>
      <c r="F13" s="1395"/>
      <c r="G13" s="2240"/>
      <c r="H13" s="2240"/>
      <c r="I13" s="1395"/>
      <c r="J13" s="1395"/>
      <c r="K13" s="1395"/>
      <c r="L13" s="1395"/>
      <c r="M13" s="1395"/>
      <c r="N13" s="1395"/>
      <c r="O13" s="1395"/>
      <c r="P13" s="1395"/>
    </row>
    <row r="14" spans="1:16">
      <c r="A14" s="2241"/>
      <c r="B14" s="2242"/>
      <c r="C14" s="48" t="s">
        <v>1938</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1933</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1927</v>
      </c>
      <c r="D16" s="50">
        <f>SUM(D8:D15)</f>
        <v>15944.130000000001</v>
      </c>
      <c r="E16" s="53">
        <f>SUM(E8:E15)</f>
        <v>62573.19</v>
      </c>
      <c r="F16" s="1395"/>
      <c r="G16" s="2240"/>
      <c r="H16" s="2243" t="s">
        <v>1939</v>
      </c>
      <c r="I16" s="2244"/>
      <c r="J16" s="1395"/>
      <c r="K16" s="3030" t="s">
        <v>1939</v>
      </c>
      <c r="L16" s="3031"/>
      <c r="M16" s="3031"/>
      <c r="N16" s="3031"/>
      <c r="O16" s="3031"/>
      <c r="P16" s="3032"/>
    </row>
    <row r="17" spans="1:19" ht="15">
      <c r="A17" s="2245" t="s">
        <v>1940</v>
      </c>
      <c r="B17" s="2246" t="s">
        <v>1941</v>
      </c>
      <c r="C17" s="2247" t="s">
        <v>1942</v>
      </c>
      <c r="D17" s="2248" t="s">
        <v>1930</v>
      </c>
      <c r="E17" s="2249" t="s">
        <v>1931</v>
      </c>
      <c r="F17" s="2250"/>
      <c r="G17" s="2251"/>
      <c r="H17" s="2252" t="s">
        <v>1943</v>
      </c>
      <c r="I17" s="2253" t="s">
        <v>1928</v>
      </c>
      <c r="J17" s="1395"/>
      <c r="K17" s="3027" t="s">
        <v>1944</v>
      </c>
      <c r="L17" s="3028"/>
      <c r="M17" s="3029"/>
      <c r="N17" s="3027" t="s">
        <v>1945</v>
      </c>
      <c r="O17" s="3028"/>
      <c r="P17" s="3029"/>
      <c r="R17" s="2231" t="s">
        <v>1946</v>
      </c>
      <c r="S17" s="64"/>
    </row>
    <row r="18" spans="1:19" ht="15">
      <c r="A18" s="2241"/>
      <c r="B18" s="2254"/>
      <c r="C18" s="2255"/>
      <c r="D18" s="2256"/>
      <c r="E18" s="2257" t="s">
        <v>1947</v>
      </c>
      <c r="F18" s="2258" t="s">
        <v>1948</v>
      </c>
      <c r="G18" s="2259" t="s">
        <v>1949</v>
      </c>
      <c r="H18" s="1265" t="s">
        <v>1950</v>
      </c>
      <c r="I18" s="2260" t="s">
        <v>1951</v>
      </c>
      <c r="J18" s="1395"/>
      <c r="K18" s="1265" t="s">
        <v>1952</v>
      </c>
      <c r="L18" s="2261" t="s">
        <v>1953</v>
      </c>
      <c r="M18" s="1049" t="s">
        <v>1954</v>
      </c>
      <c r="N18" s="1265" t="s">
        <v>1952</v>
      </c>
      <c r="O18" s="2261" t="s">
        <v>1953</v>
      </c>
      <c r="P18" s="1049" t="s">
        <v>1954</v>
      </c>
      <c r="R18" s="1250" t="s">
        <v>1955</v>
      </c>
      <c r="S18" s="1250" t="s">
        <v>1956</v>
      </c>
    </row>
    <row r="19" spans="1:19">
      <c r="A19" s="2262"/>
      <c r="B19" s="50" t="s">
        <v>1929</v>
      </c>
      <c r="C19" s="2945" t="s">
        <v>3061</v>
      </c>
      <c r="D19" s="48">
        <f>ROUND($D$3*E19/$E$3,2)</f>
        <v>3732.87</v>
      </c>
      <c r="E19" s="56">
        <f t="shared" ref="E19:E26" si="1">SUM(F19:G19)</f>
        <v>14649.77</v>
      </c>
      <c r="F19" s="57">
        <f>'数据-基础表'!I13</f>
        <v>14649.77</v>
      </c>
      <c r="G19" s="58"/>
      <c r="H19" s="723">
        <f>ROUND($D$3*I19/$E$3,2)</f>
        <v>20.41</v>
      </c>
      <c r="I19" s="51">
        <f t="shared" ref="I19:I26" si="2">IF($I$17="自定义",P19,M19)</f>
        <v>80.11</v>
      </c>
      <c r="J19" s="1395"/>
      <c r="K19" s="1394">
        <f t="shared" ref="K19:K26" si="3">ROUND(E$28*E19/E$27,2)</f>
        <v>80.11</v>
      </c>
      <c r="L19" s="1250">
        <f t="shared" ref="L19:L26" si="4">ROUND(IF(COUNTIF(C19,"*住宅*")&gt;0,E$29*E19/E$32,0),2)</f>
        <v>0</v>
      </c>
      <c r="M19" s="1406">
        <f>K19+L19</f>
        <v>80.11</v>
      </c>
      <c r="N19" s="2263"/>
      <c r="O19" s="2264"/>
      <c r="P19" s="1406">
        <f>N19+O19</f>
        <v>0</v>
      </c>
      <c r="R19" s="1250">
        <f t="shared" ref="R19:S26" si="5">D19+H19</f>
        <v>3753.2799999999997</v>
      </c>
      <c r="S19" s="1251">
        <f t="shared" si="5"/>
        <v>14729.880000000001</v>
      </c>
    </row>
    <row r="20" spans="1:19">
      <c r="A20" s="2265"/>
      <c r="B20" s="50" t="s">
        <v>1957</v>
      </c>
      <c r="C20" s="2945" t="s">
        <v>3062</v>
      </c>
      <c r="D20" s="48">
        <f t="shared" ref="D20:D26" si="6">ROUND($D$3*E20/$E$3,2)</f>
        <v>8459.7099999999991</v>
      </c>
      <c r="E20" s="56">
        <f t="shared" si="1"/>
        <v>33200.39</v>
      </c>
      <c r="F20" s="57">
        <f>'数据-基础表'!K13</f>
        <v>33200.39</v>
      </c>
      <c r="G20" s="58"/>
      <c r="H20" s="723">
        <f t="shared" ref="H20:H26" si="7">ROUND($D$3*I20/$E$3,2)</f>
        <v>46.26</v>
      </c>
      <c r="I20" s="51">
        <f t="shared" si="2"/>
        <v>181.56</v>
      </c>
      <c r="J20" s="1395"/>
      <c r="K20" s="1394">
        <f t="shared" si="3"/>
        <v>181.56</v>
      </c>
      <c r="L20" s="1250">
        <f t="shared" si="4"/>
        <v>0</v>
      </c>
      <c r="M20" s="1406">
        <f t="shared" ref="M20:M26" si="8">K20+L20</f>
        <v>181.56</v>
      </c>
      <c r="N20" s="2263"/>
      <c r="O20" s="2264"/>
      <c r="P20" s="1406">
        <f t="shared" ref="P20:P26" si="9">N20+O20</f>
        <v>0</v>
      </c>
      <c r="R20" s="1250">
        <f t="shared" si="5"/>
        <v>8505.9699999999993</v>
      </c>
      <c r="S20" s="1251">
        <f t="shared" si="5"/>
        <v>33381.949999999997</v>
      </c>
    </row>
    <row r="21" spans="1:19">
      <c r="A21" s="2265"/>
      <c r="B21" s="50" t="s">
        <v>1957</v>
      </c>
      <c r="C21" s="2945" t="s">
        <v>3063</v>
      </c>
      <c r="D21" s="48">
        <f t="shared" si="6"/>
        <v>3751.54</v>
      </c>
      <c r="E21" s="56">
        <f t="shared" si="1"/>
        <v>14723.029999999999</v>
      </c>
      <c r="F21" s="57"/>
      <c r="G21" s="58">
        <f>'数据-基础表'!M13</f>
        <v>14723.029999999999</v>
      </c>
      <c r="H21" s="723">
        <f t="shared" si="7"/>
        <v>20.51</v>
      </c>
      <c r="I21" s="51">
        <f t="shared" si="2"/>
        <v>80.510000000000005</v>
      </c>
      <c r="J21" s="1395"/>
      <c r="K21" s="1394">
        <f t="shared" si="3"/>
        <v>80.510000000000005</v>
      </c>
      <c r="L21" s="1250">
        <f t="shared" si="4"/>
        <v>0</v>
      </c>
      <c r="M21" s="1406">
        <f t="shared" si="8"/>
        <v>80.510000000000005</v>
      </c>
      <c r="N21" s="2263"/>
      <c r="O21" s="2264"/>
      <c r="P21" s="1406">
        <f t="shared" si="9"/>
        <v>0</v>
      </c>
      <c r="R21" s="1250">
        <f t="shared" si="5"/>
        <v>3772.05</v>
      </c>
      <c r="S21" s="1251">
        <f t="shared" si="5"/>
        <v>14803.539999999999</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29.25" thickBot="1">
      <c r="A27" s="2265"/>
      <c r="B27" s="48"/>
      <c r="C27" s="2268" t="s">
        <v>1958</v>
      </c>
      <c r="D27" s="1396">
        <f>SUM(D19:D26)</f>
        <v>15944.119999999999</v>
      </c>
      <c r="E27" s="1397">
        <f>IF(SUM(E19:E26)='数据-基础表'!BA5,SUM(E19:E26),IF(F27="地上面积有误","面积有误","地下面积有误"))</f>
        <v>62573.19</v>
      </c>
      <c r="F27" s="1396">
        <f>IF(SUM(F19:F26)=E8,SUM(F19:F26),"地上面积有误")</f>
        <v>47850.16</v>
      </c>
      <c r="G27" s="1398">
        <f>SUM(G19:G26)</f>
        <v>14723.029999999999</v>
      </c>
      <c r="H27" s="1399">
        <f>SUM(H19:H26)</f>
        <v>87.18</v>
      </c>
      <c r="I27" s="1400">
        <f>SUM(I19:I26)</f>
        <v>342.18</v>
      </c>
      <c r="J27" s="1395"/>
      <c r="K27" s="1403">
        <f>SUM(K19:K26)</f>
        <v>342.18</v>
      </c>
      <c r="L27" s="1404">
        <f>SUM(L19:L26)</f>
        <v>0</v>
      </c>
      <c r="M27" s="1407">
        <f>SUM(M19:M26)</f>
        <v>342.18</v>
      </c>
      <c r="N27" s="1403">
        <f t="shared" ref="N27:O27" si="10">SUM(N19:N26)</f>
        <v>0</v>
      </c>
      <c r="O27" s="1404">
        <f t="shared" si="10"/>
        <v>0</v>
      </c>
      <c r="P27" s="1405">
        <f>SUM(P19:P26)</f>
        <v>0</v>
      </c>
      <c r="R27" s="1252" t="str">
        <f>IF(SUM(R19:R26)=$D$3,SUM(R19:R26),SUM(R19:R26)&amp;"误差"&amp;ROUND(SUM(R19:R26)-$D$3,2))</f>
        <v>16031.3误差-0.02</v>
      </c>
      <c r="S27" s="1250" t="str">
        <f>IF(SUM(S19:S26)=$E$3,SUM(S19:S26),SUM(S19:S26)&amp;"误差"&amp;ROUND(SUM(S19:S26)-E3,2))</f>
        <v>62915.37误差-0.01</v>
      </c>
    </row>
    <row r="28" spans="1:19">
      <c r="A28" s="2265"/>
      <c r="B28" s="50" t="s">
        <v>1959</v>
      </c>
      <c r="C28" s="1262" t="s">
        <v>1960</v>
      </c>
      <c r="D28" s="48">
        <f>ROUND($D$3*E28/$E$3,2)</f>
        <v>87.19</v>
      </c>
      <c r="E28" s="56">
        <f>SUM(F28:G28)</f>
        <v>342.19000000000597</v>
      </c>
      <c r="F28" s="64">
        <f>'数据-基础表'!BQ5+'数据-基础表'!BS5</f>
        <v>0</v>
      </c>
      <c r="G28" s="65">
        <f>'数据-基础表'!BR5+'数据-基础表'!BT5</f>
        <v>342.19000000000597</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87.19</v>
      </c>
      <c r="E30" s="1396">
        <f>SUM(E28:E29)</f>
        <v>342.19000000000597</v>
      </c>
      <c r="F30" s="1396">
        <f>SUM(F28:F29)</f>
        <v>0</v>
      </c>
      <c r="G30" s="1398">
        <f>SUM(G28:G29)</f>
        <v>342.19000000000597</v>
      </c>
      <c r="H30" s="1395"/>
      <c r="I30" s="1395"/>
      <c r="J30" s="1395"/>
      <c r="K30" s="1395"/>
      <c r="L30" s="1395"/>
      <c r="M30" s="1395"/>
      <c r="N30" s="1395"/>
      <c r="O30" s="1395"/>
      <c r="P30" s="1395"/>
    </row>
    <row r="31" spans="1:19" ht="15.75" thickBot="1">
      <c r="A31" s="2271"/>
      <c r="B31" s="2272"/>
      <c r="C31" s="1010" t="s">
        <v>1962</v>
      </c>
      <c r="D31" s="729">
        <f>D27+D30</f>
        <v>16031.31</v>
      </c>
      <c r="E31" s="729">
        <f>E27+E30</f>
        <v>62915.380000000005</v>
      </c>
      <c r="F31" s="730">
        <f>F27+F30</f>
        <v>47850.16</v>
      </c>
      <c r="G31" s="731">
        <f>G27+G30</f>
        <v>15065.220000000005</v>
      </c>
      <c r="H31" s="1395"/>
      <c r="I31" s="1395"/>
      <c r="J31" s="1395"/>
      <c r="K31" s="1395"/>
      <c r="L31" s="1395"/>
      <c r="M31" s="1395"/>
      <c r="N31" s="1395"/>
      <c r="O31" s="1395"/>
      <c r="P31" s="1395"/>
    </row>
    <row r="32" spans="1:19">
      <c r="A32" s="2236"/>
      <c r="B32" s="2236" t="s">
        <v>1963</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1965</v>
      </c>
      <c r="B2" s="1269">
        <f>项目基本情况!D3</f>
        <v>43487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7" t="s">
        <v>1970</v>
      </c>
      <c r="AA4" s="2247"/>
      <c r="AB4" s="2247"/>
      <c r="AC4" s="2247"/>
      <c r="AD4" s="2247"/>
      <c r="AE4" s="2245" t="s">
        <v>1971</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1985</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7" t="s">
        <v>2006</v>
      </c>
      <c r="AP5" s="1252" t="s">
        <v>2007</v>
      </c>
      <c r="AQ5" s="2307" t="s">
        <v>2008</v>
      </c>
      <c r="AR5" s="2307"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1373</v>
      </c>
      <c r="D6" s="1054">
        <f>SUMIF(项目基本情况!D$12:I$12,C6,项目基本情况!D$14:I$14)</f>
        <v>40</v>
      </c>
      <c r="E6" s="1051">
        <f>IF(B6="","",SUMIF(项目基本情况!D$12:I$12,C6,项目基本情况!D$13:I$13))</f>
        <v>57271</v>
      </c>
      <c r="F6" s="72">
        <f>SUMIF(项目基本情况!D$12:I$12,C6,项目基本情况!D$15:I$15)</f>
        <v>37.76</v>
      </c>
      <c r="G6" s="73">
        <f>IF(ISERROR(ROUND(POWER(1+H6,D6-F6)*(POWER(1+H6,F6)-1)/(POWER(1+H6,D6)-1),3)),0,ROUND(POWER(1+H6,D6-F6)*(POWER(1+H6,F6)-1)/(POWER(1+H6,D6)-1),3))</f>
        <v>0.98099999999999998</v>
      </c>
      <c r="H6" s="802">
        <v>0.05</v>
      </c>
      <c r="I6" s="802">
        <v>5.5E-2</v>
      </c>
      <c r="J6" s="74">
        <v>8.5000000000000006E-2</v>
      </c>
      <c r="K6" s="1254">
        <f>SUMIF('数据-汇总表'!C$19:C$33,A6,'数据-汇总表'!E$19:E$33)</f>
        <v>14649.77</v>
      </c>
      <c r="L6" s="803">
        <v>3000</v>
      </c>
      <c r="M6" s="75">
        <f t="shared" ref="M6:M14" si="0">ROUND(K6*L6/10000,0)</f>
        <v>4395</v>
      </c>
      <c r="N6" s="801">
        <v>0.8</v>
      </c>
      <c r="O6" s="75">
        <f>IF($N$5="成新度","——",ROUND(M6*N6,0))</f>
        <v>3516</v>
      </c>
      <c r="P6" s="76">
        <f>IF($N$5="成新度","——",M6-O6)</f>
        <v>879</v>
      </c>
      <c r="Q6" s="804">
        <v>0.15</v>
      </c>
      <c r="R6" s="77">
        <f ca="1">SUMIF('数据-汇总表'!C$19:C$33,A6,'数据-汇总表'!R$19:R$27)</f>
        <v>3753.2799999999997</v>
      </c>
      <c r="S6" s="54">
        <f>IF('数据-汇总表'!$I$17="按面积比例",SUMIF('数据-汇总表'!C$19:C$33,A6,'数据-汇总表'!K$19:K$33),SUMIF('数据-汇总表'!C$19:C$33,A6,'数据-汇总表'!N$19:N$33))</f>
        <v>80.11</v>
      </c>
      <c r="T6" s="1446">
        <f>ROUND($L$14*S6/10000,0)</f>
        <v>19</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11"/>
      <c r="AO6" s="55" t="e">
        <f ca="1">SUMIF(INDIRECT("'"&amp;AN6&amp;"'"&amp;"!A:A"),"总价",INDIRECT("'"&amp;AN6&amp;"'"&amp;"!B:B"))</f>
        <v>#REF!</v>
      </c>
      <c r="AP6" s="2312">
        <f>IF(C6="住宅",K6*L6,0)</f>
        <v>0</v>
      </c>
      <c r="AQ6" s="55">
        <f>ROUND($L$14*$N$14*S6/10000,0)</f>
        <v>15</v>
      </c>
      <c r="AR6" s="55">
        <f>ROUND($L$14*(1-$N$14)*S6/10000,0)</f>
        <v>4</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办公</v>
      </c>
      <c r="B7" s="2309" t="str">
        <f t="shared" ref="B7:B13" si="1">IF(A7=0,"","经营性")</f>
        <v>经营性</v>
      </c>
      <c r="C7" s="2310" t="s">
        <v>27</v>
      </c>
      <c r="D7" s="1054">
        <f>SUMIF(项目基本情况!D$12:I$12,C7,项目基本情况!D$14:I$14)</f>
        <v>50</v>
      </c>
      <c r="E7" s="1051">
        <f>IF(B7="","",SUMIF(项目基本情况!D$12:I$12,C7,项目基本情况!D$13:I$13))</f>
        <v>60923</v>
      </c>
      <c r="F7" s="72">
        <f>SUMIF(项目基本情况!D$12:I$12,C7,项目基本情况!D$15:I$15)</f>
        <v>47.76</v>
      </c>
      <c r="G7" s="73">
        <f t="shared" ref="G7:G11" si="2">IF(ISERROR(ROUND(POWER(1+H7,D7-F7)*(POWER(1+H7,F7)-1)/(POWER(1+H7,D7)-1),3)),0,ROUND(POWER(1+H7,D7-F7)*(POWER(1+H7,F7)-1)/(POWER(1+H7,D7)-1),3))</f>
        <v>0.98699999999999999</v>
      </c>
      <c r="H7" s="802">
        <v>4.4999999999999998E-2</v>
      </c>
      <c r="I7" s="802">
        <v>0.05</v>
      </c>
      <c r="J7" s="74">
        <v>8.5000000000000006E-2</v>
      </c>
      <c r="K7" s="1254">
        <f>SUMIF('数据-汇总表'!C$19:C$33,A7,'数据-汇总表'!E$19:E$33)</f>
        <v>33200.39</v>
      </c>
      <c r="L7" s="803">
        <v>3000</v>
      </c>
      <c r="M7" s="75">
        <f t="shared" si="0"/>
        <v>9960</v>
      </c>
      <c r="N7" s="801">
        <v>0.8</v>
      </c>
      <c r="O7" s="75">
        <f t="shared" ref="O7:O14" si="3">IF($N$5="成新度","——",ROUND(M7*N7,0))</f>
        <v>7968</v>
      </c>
      <c r="P7" s="76">
        <f t="shared" ref="P7:P14" si="4">IF($N$5="成新度","——",M7-O7)</f>
        <v>1992</v>
      </c>
      <c r="Q7" s="804">
        <v>0.08</v>
      </c>
      <c r="R7" s="77">
        <f ca="1">SUMIF('数据-汇总表'!C$19:C$33,A7,'数据-汇总表'!R$19:R$27)</f>
        <v>8505.9699999999993</v>
      </c>
      <c r="S7" s="54">
        <f>IF('数据-汇总表'!$I$17="按面积比例",SUMIF('数据-汇总表'!C$19:C$33,A7,'数据-汇总表'!K$19:K$33),SUMIF('数据-汇总表'!C$19:C$33,A7,'数据-汇总表'!N$19:N$33))</f>
        <v>181.56</v>
      </c>
      <c r="T7" s="1446">
        <f t="shared" ref="T7:T13" si="5">ROUND($L$14*S7/10000,0)</f>
        <v>44</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35</v>
      </c>
      <c r="AR7" s="55">
        <f t="shared" ref="AR7:AR13" si="11">ROUND($L$14*(1-$N$14)*S7/10000,0)</f>
        <v>9</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地下车库</v>
      </c>
      <c r="B8" s="2309" t="str">
        <f t="shared" si="1"/>
        <v>经营性</v>
      </c>
      <c r="C8" s="2310" t="s">
        <v>3059</v>
      </c>
      <c r="D8" s="1054">
        <f>SUMIF(项目基本情况!D$12:I$12,C8,项目基本情况!D$14:I$14)</f>
        <v>50</v>
      </c>
      <c r="E8" s="1051">
        <f>IF(B8="","",SUMIF(项目基本情况!D$12:I$12,C8,项目基本情况!D$13:I$13))</f>
        <v>60923</v>
      </c>
      <c r="F8" s="72">
        <f>SUMIF(项目基本情况!D$12:I$12,C8,项目基本情况!D$15:I$15)</f>
        <v>47.76</v>
      </c>
      <c r="G8" s="73">
        <f t="shared" si="2"/>
        <v>0.98499999999999999</v>
      </c>
      <c r="H8" s="802">
        <v>0.04</v>
      </c>
      <c r="I8" s="802">
        <v>4.4999999999999998E-2</v>
      </c>
      <c r="J8" s="74">
        <v>8.5000000000000006E-2</v>
      </c>
      <c r="K8" s="1254">
        <f>SUMIF('数据-汇总表'!C$19:C$33,A8,'数据-汇总表'!E$19:E$33)</f>
        <v>14723.029999999999</v>
      </c>
      <c r="L8" s="803">
        <v>2400</v>
      </c>
      <c r="M8" s="75">
        <f>ROUND(K8*L8/10000,0)</f>
        <v>3534</v>
      </c>
      <c r="N8" s="801">
        <v>0.8</v>
      </c>
      <c r="O8" s="75">
        <f t="shared" si="3"/>
        <v>2827</v>
      </c>
      <c r="P8" s="76">
        <f t="shared" si="4"/>
        <v>707</v>
      </c>
      <c r="Q8" s="804">
        <v>0.05</v>
      </c>
      <c r="R8" s="77">
        <f ca="1">SUMIF('数据-汇总表'!C$19:C$33,A8,'数据-汇总表'!R$19:R$27)</f>
        <v>3772.05</v>
      </c>
      <c r="S8" s="54">
        <f>IF('数据-汇总表'!$I$17="按面积比例",SUMIF('数据-汇总表'!C$19:C$33,A8,'数据-汇总表'!K$19:K$33),SUMIF('数据-汇总表'!C$19:C$33,A8,'数据-汇总表'!N$19:N$33))</f>
        <v>80.510000000000005</v>
      </c>
      <c r="T8" s="1446">
        <f t="shared" si="5"/>
        <v>19</v>
      </c>
      <c r="U8" s="805"/>
      <c r="V8" s="806"/>
      <c r="W8" s="806"/>
      <c r="X8" s="1264"/>
      <c r="Y8" s="807"/>
      <c r="Z8" s="81"/>
      <c r="AA8" s="74"/>
      <c r="AB8" s="74"/>
      <c r="AC8" s="1264"/>
      <c r="AD8" s="82"/>
      <c r="AE8" s="1265">
        <f t="shared" ca="1" si="6"/>
        <v>0</v>
      </c>
      <c r="AF8" s="1806"/>
      <c r="AG8" s="147">
        <f t="shared" si="7"/>
        <v>0</v>
      </c>
      <c r="AH8" s="808"/>
      <c r="AI8" s="85"/>
      <c r="AJ8" s="86"/>
      <c r="AK8" s="809"/>
      <c r="AL8" s="810"/>
      <c r="AM8" s="811"/>
      <c r="AN8" s="2311"/>
      <c r="AO8" s="55" t="e">
        <f t="shared" ca="1" si="8"/>
        <v>#REF!</v>
      </c>
      <c r="AP8" s="2312">
        <f t="shared" si="9"/>
        <v>0</v>
      </c>
      <c r="AQ8" s="55">
        <f t="shared" si="10"/>
        <v>15</v>
      </c>
      <c r="AR8" s="55">
        <f t="shared" si="11"/>
        <v>4</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4"/>
      <c r="E14" s="1051"/>
      <c r="F14" s="72"/>
      <c r="G14" s="73"/>
      <c r="H14" s="1253"/>
      <c r="I14" s="1253"/>
      <c r="J14" s="1253"/>
      <c r="K14" s="1254">
        <f>SUMIF('数据-汇总表'!C$19:C$33,A14,'数据-汇总表'!E$19:E$33)</f>
        <v>342.19000000000597</v>
      </c>
      <c r="L14" s="91">
        <v>2400</v>
      </c>
      <c r="M14" s="75">
        <f t="shared" si="0"/>
        <v>82</v>
      </c>
      <c r="N14" s="92">
        <v>0.8</v>
      </c>
      <c r="O14" s="75">
        <f t="shared" si="3"/>
        <v>66</v>
      </c>
      <c r="P14" s="76">
        <f t="shared" si="4"/>
        <v>16</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7"/>
      <c r="C16" s="1008"/>
      <c r="D16" s="2316"/>
      <c r="E16" s="97"/>
      <c r="F16" s="97"/>
      <c r="G16" s="98">
        <f>ROUND(SUMPRODUCT(G6:G13,K6:K13)/SUMPRODUCT((G6:G13&gt;0)*(K6:K13)),3)</f>
        <v>0.98499999999999999</v>
      </c>
      <c r="H16" s="99">
        <f>ROUND(SUMPRODUCT(H6:H13,K6:K13)/SUMPRODUCT((H6:H13&gt;0)*(K6:K13)),3)</f>
        <v>4.4999999999999998E-2</v>
      </c>
      <c r="I16" s="100"/>
      <c r="J16" s="100"/>
      <c r="K16" s="101">
        <f>SUM(K6:K15)</f>
        <v>62915.380000000005</v>
      </c>
      <c r="L16" s="102">
        <f>ROUND(M16*10000/SUM(K6:K14),0)</f>
        <v>2856</v>
      </c>
      <c r="M16" s="102">
        <f>SUM(M6:M14)</f>
        <v>17971</v>
      </c>
      <c r="N16" s="103">
        <f>ROUND(SUMPRODUCT(M6:M14,N6:N14)/M16,3)</f>
        <v>0.8</v>
      </c>
      <c r="O16" s="102">
        <f>SUM(O6:O14)</f>
        <v>14377</v>
      </c>
      <c r="P16" s="102">
        <f>SUM(P6:P14)</f>
        <v>3594</v>
      </c>
      <c r="Q16" s="104">
        <f>ROUND(SUMPRODUCT(Q6:Q13,K6:K13)/SUMPRODUCT((Q6:Q13&gt;0)*(K6:K13)),2)</f>
        <v>0.09</v>
      </c>
      <c r="R16" s="1258">
        <f ca="1">SUM(R6:R13)</f>
        <v>16031.3</v>
      </c>
      <c r="S16" s="105">
        <f>SUM(S6:S13)</f>
        <v>342.18</v>
      </c>
      <c r="T16" s="106">
        <f>IF(SUMIF(T6:T13,"&lt;9E307")=M14,SUMIF(T6:T13,"&lt;9E307"),"有误，请检查")</f>
        <v>82</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2">
        <v>0</v>
      </c>
      <c r="C19" s="2279" t="s">
        <v>2017</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3">
        <v>2</v>
      </c>
      <c r="C20" s="2279" t="s">
        <v>2019</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3">
        <v>1.8</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4">
        <f>B19+B21</f>
        <v>1.8</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5">
        <f>B20-B21</f>
        <v>0.19999999999999996</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6">
        <v>100</v>
      </c>
      <c r="C27" s="1766" t="s">
        <v>2028</v>
      </c>
      <c r="D27" s="2325"/>
      <c r="E27" s="1430"/>
      <c r="F27" s="1430"/>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100</v>
      </c>
      <c r="C28" s="2328"/>
      <c r="D28" s="2325"/>
      <c r="E28" s="1430"/>
      <c r="F28" s="1430"/>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v>0</v>
      </c>
      <c r="C29" s="1766" t="s">
        <v>2031</v>
      </c>
      <c r="D29" s="2325"/>
      <c r="E29" s="1430"/>
      <c r="F29" s="1430"/>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180</v>
      </c>
      <c r="C31" s="1766"/>
      <c r="D31" s="2325"/>
      <c r="E31" s="1430"/>
      <c r="F31" s="1430"/>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20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0.04</v>
      </c>
      <c r="C33" s="1765" t="s">
        <v>2036</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5" t="s">
        <v>2038</v>
      </c>
      <c r="D34" s="2280" t="s">
        <v>2039</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5" t="s">
        <v>2041</v>
      </c>
      <c r="D35" s="2325"/>
      <c r="E35" s="1430"/>
      <c r="F35" s="1430"/>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5" t="s">
        <v>2043</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4">
        <v>0.02</v>
      </c>
      <c r="C37" s="1765" t="s">
        <v>2045</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2">
        <v>0.02</v>
      </c>
      <c r="C38" s="1765" t="s">
        <v>2045</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3">
        <f ca="1">存贷款利率!G1</f>
        <v>4.7500000000000001E-2</v>
      </c>
      <c r="C40" s="1765" t="s">
        <v>2049</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8">
        <v>7.0000000000000007E-2</v>
      </c>
      <c r="C44" s="1765" t="s">
        <v>2054</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6">
        <v>0.03</v>
      </c>
      <c r="C45" s="1766" t="s">
        <v>2056</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6">
        <v>0.02</v>
      </c>
      <c r="C46" s="1766" t="s">
        <v>2058</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9">
        <v>0</v>
      </c>
      <c r="C47" s="1766" t="s">
        <v>2060</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30">
        <v>0.03</v>
      </c>
      <c r="C48" s="1773" t="s">
        <v>2062</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6">
        <v>5.0000000000000001E-4</v>
      </c>
      <c r="C49" s="1773" t="s">
        <v>2064</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1">
        <v>1.2E-2</v>
      </c>
      <c r="C50" s="1430"/>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2">
        <v>0.12</v>
      </c>
      <c r="C51" s="1430"/>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3">
        <f>SUMIF(A54:A63,B53,B54:B63)</f>
        <v>8</v>
      </c>
      <c r="C52" s="1430"/>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t="s">
        <v>212</v>
      </c>
      <c r="C53" s="1430" t="s">
        <v>2069</v>
      </c>
      <c r="D53" s="2339" t="s">
        <v>2070</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4">
        <v>8</v>
      </c>
      <c r="C54" s="1430">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4"/>
      <c r="C55" s="1430">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4"/>
      <c r="C56" s="1430">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4"/>
      <c r="C57" s="1430">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4"/>
      <c r="C58" s="1430">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4"/>
      <c r="C59" s="1430">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2" t="s">
        <v>2081</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1"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7"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1"/>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1"/>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7" t="s">
        <v>2098</v>
      </c>
      <c r="C8" s="2378" t="s">
        <v>2099</v>
      </c>
      <c r="D8" s="2379"/>
      <c r="E8" s="2379"/>
      <c r="F8" s="1136"/>
      <c r="G8" s="1136"/>
      <c r="H8" s="2370"/>
      <c r="I8" s="2370"/>
      <c r="J8" s="2370"/>
      <c r="K8" s="2370"/>
      <c r="L8" s="2370"/>
      <c r="M8" s="2370"/>
      <c r="N8" s="2370"/>
      <c r="O8" s="2370"/>
      <c r="P8" s="2370"/>
      <c r="Q8" s="2370"/>
      <c r="R8" s="2370"/>
    </row>
    <row r="9" spans="1:29" ht="27">
      <c r="A9" s="431"/>
      <c r="B9" s="1797"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70" t="s">
        <v>2085</v>
      </c>
      <c r="C15" s="2405" t="str">
        <f>C3</f>
        <v>估价对象周边居住用地比例、居住小区规模和社区发展完善程度，综合评价居住社区成熟度一般</v>
      </c>
      <c r="D15" s="2373"/>
      <c r="E15" s="2406" t="s">
        <v>2109</v>
      </c>
      <c r="F15" s="1270"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1"/>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1"/>
      <c r="D19" s="2373"/>
      <c r="E19" s="2409"/>
      <c r="F19" s="1797"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7" t="s">
        <v>2114</v>
      </c>
      <c r="G20" s="136" t="str">
        <f>G6</f>
        <v>估价对象所在区域基础设施水平</v>
      </c>
    </row>
    <row r="21" spans="1:18" ht="28.5">
      <c r="A21" s="645"/>
      <c r="B21" s="1797" t="s">
        <v>2095</v>
      </c>
      <c r="C21" s="136" t="str">
        <f>C7</f>
        <v>估价对象所在区域公共配套设施齐备情况</v>
      </c>
      <c r="D21" s="2373"/>
      <c r="E21" s="2409"/>
      <c r="F21" s="2410" t="s">
        <v>2115</v>
      </c>
      <c r="G21" s="2411"/>
    </row>
    <row r="22" spans="1:18" ht="13.5" customHeight="1">
      <c r="A22" s="645"/>
      <c r="B22" s="1797" t="s">
        <v>2098</v>
      </c>
      <c r="C22" s="136" t="str">
        <f>C8</f>
        <v>估价对象所在区域基础设施水平</v>
      </c>
      <c r="D22" s="2373"/>
      <c r="E22" s="2409"/>
      <c r="F22" s="2410" t="s">
        <v>2104</v>
      </c>
      <c r="G22" s="1571"/>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62915.380000000005</v>
      </c>
      <c r="C1" s="1744"/>
      <c r="D1" s="1744"/>
      <c r="E1" s="1744"/>
      <c r="F1" s="1744"/>
      <c r="G1" s="1742"/>
    </row>
    <row r="2" spans="1:10" ht="16.5">
      <c r="A2" s="1745" t="s">
        <v>1349</v>
      </c>
      <c r="B2" s="1745">
        <f>SUM(C14:C23)</f>
        <v>16031.32</v>
      </c>
      <c r="C2" s="1744"/>
      <c r="D2" s="1744"/>
      <c r="E2" s="1744"/>
      <c r="F2" s="1744"/>
      <c r="G2" s="1742"/>
    </row>
    <row r="3" spans="1:10" ht="16.5">
      <c r="A3" s="1745" t="s">
        <v>1358</v>
      </c>
      <c r="B3" s="1746">
        <f>项目基本情况!D3</f>
        <v>43487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23136</v>
      </c>
      <c r="C5" s="1745">
        <f ca="1">ROUND(B5*10000/$B$1,0)</f>
        <v>3677</v>
      </c>
      <c r="D5" s="1745">
        <f ca="1">ROUND(B5*10000/$B$2,0)</f>
        <v>14432</v>
      </c>
      <c r="E5" s="1744"/>
      <c r="F5" s="1742"/>
      <c r="G5" s="1742"/>
    </row>
    <row r="6" spans="1:10" ht="16.5">
      <c r="A6" s="1745" t="s">
        <v>1352</v>
      </c>
      <c r="B6" s="1745">
        <f ca="1">SUM(G14:G23)</f>
        <v>23136</v>
      </c>
      <c r="C6" s="1745">
        <f ca="1">ROUND(B6*10000/$B$1,0)</f>
        <v>3677</v>
      </c>
      <c r="D6" s="1745">
        <f ca="1">ROUND(B6*10000/$B$2,0)</f>
        <v>14432</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62915.380000000005</v>
      </c>
      <c r="C14" s="1743">
        <f>结果表!C118</f>
        <v>16031.32</v>
      </c>
      <c r="D14" s="1743">
        <f ca="1">结果表!H118</f>
        <v>23136</v>
      </c>
      <c r="E14" s="1743">
        <f ca="1">ROUND(D14*10000/B14,0)</f>
        <v>3677</v>
      </c>
      <c r="F14" s="1743">
        <f ca="1">ROUND(D14*10000/C14,0)</f>
        <v>14432</v>
      </c>
      <c r="G14" s="1743">
        <f ca="1">结果表!D122</f>
        <v>23136</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6"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2118</v>
      </c>
      <c r="B1" s="2421"/>
      <c r="C1" s="2422"/>
      <c r="D1" s="2421"/>
      <c r="E1" s="2421"/>
      <c r="F1" s="2423" t="s">
        <v>2119</v>
      </c>
      <c r="G1" s="2073" t="s">
        <v>2120</v>
      </c>
      <c r="H1" s="2424" t="str">
        <f>IF(G1="现房","——","估价对象范围")</f>
        <v>估价对象范围</v>
      </c>
      <c r="I1" s="2425"/>
    </row>
    <row r="2" spans="1:12" ht="21.75" customHeight="1" thickBot="1">
      <c r="A2" s="3116" t="str">
        <f>项目基本情况!S2</f>
        <v>出让国有建设用地使用权及在建建筑物房地产</v>
      </c>
      <c r="B2" s="3117"/>
      <c r="C2" s="3117"/>
      <c r="D2" s="3117"/>
      <c r="E2" s="3117"/>
      <c r="F2" s="3117"/>
      <c r="G2" s="3117"/>
      <c r="H2" s="3117"/>
      <c r="I2" s="3118"/>
    </row>
    <row r="3" spans="1:12" ht="12.75">
      <c r="A3" s="3119" t="s">
        <v>2121</v>
      </c>
      <c r="B3" s="3120"/>
      <c r="C3" s="3120"/>
      <c r="D3" s="3120"/>
      <c r="E3" s="3120"/>
      <c r="F3" s="3120"/>
      <c r="G3" s="3120"/>
      <c r="H3" s="3120"/>
      <c r="I3" s="3120"/>
    </row>
    <row r="4" spans="1:12" ht="14.25">
      <c r="A4" s="2428" t="s">
        <v>2122</v>
      </c>
      <c r="B4" s="2429" t="s">
        <v>2123</v>
      </c>
      <c r="C4" s="2430" t="s">
        <v>3144</v>
      </c>
      <c r="D4" s="2430" t="s">
        <v>3145</v>
      </c>
      <c r="E4" s="3100" t="s">
        <v>2124</v>
      </c>
      <c r="F4" s="3113"/>
      <c r="G4" s="3113"/>
      <c r="H4" s="3113"/>
      <c r="I4" s="31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91" t="s">
        <v>2125</v>
      </c>
      <c r="B5" s="3017">
        <v>25</v>
      </c>
      <c r="C5" s="3121"/>
      <c r="D5" s="3109"/>
      <c r="E5" s="140" t="s">
        <v>2126</v>
      </c>
      <c r="F5" s="2432"/>
      <c r="G5" s="2432"/>
      <c r="H5" s="2432"/>
      <c r="I5" s="1833"/>
    </row>
    <row r="6" spans="1:12" ht="12.75">
      <c r="A6" s="3091"/>
      <c r="B6" s="3017"/>
      <c r="C6" s="3123"/>
      <c r="D6" s="3109"/>
      <c r="E6" s="140" t="s">
        <v>2127</v>
      </c>
      <c r="F6" s="2432"/>
      <c r="G6" s="2432"/>
      <c r="H6" s="2432"/>
      <c r="I6" s="1833"/>
    </row>
    <row r="7" spans="1:12" ht="12.75">
      <c r="A7" s="3091"/>
      <c r="B7" s="3017"/>
      <c r="C7" s="3122"/>
      <c r="D7" s="3109"/>
      <c r="E7" s="140" t="s">
        <v>2128</v>
      </c>
      <c r="F7" s="2432"/>
      <c r="G7" s="2432"/>
      <c r="H7" s="2432"/>
      <c r="I7" s="1833"/>
    </row>
    <row r="8" spans="1:12" ht="12.75">
      <c r="A8" s="3091" t="s">
        <v>2129</v>
      </c>
      <c r="B8" s="3017">
        <v>15</v>
      </c>
      <c r="C8" s="3121"/>
      <c r="D8" s="3109"/>
      <c r="E8" s="140" t="s">
        <v>2130</v>
      </c>
      <c r="F8" s="2432"/>
      <c r="G8" s="2432"/>
      <c r="H8" s="2432"/>
      <c r="I8" s="1833"/>
    </row>
    <row r="9" spans="1:12" ht="12.75">
      <c r="A9" s="3091"/>
      <c r="B9" s="3017"/>
      <c r="C9" s="3122"/>
      <c r="D9" s="3109"/>
      <c r="E9" s="140" t="s">
        <v>2131</v>
      </c>
      <c r="F9" s="2432"/>
      <c r="G9" s="2432"/>
      <c r="H9" s="2432"/>
      <c r="I9" s="1833"/>
    </row>
    <row r="10" spans="1:12" ht="12.75">
      <c r="A10" s="3091" t="s">
        <v>2132</v>
      </c>
      <c r="B10" s="3017">
        <v>15</v>
      </c>
      <c r="C10" s="3121"/>
      <c r="D10" s="3109"/>
      <c r="E10" s="140" t="s">
        <v>2133</v>
      </c>
      <c r="F10" s="2432"/>
      <c r="G10" s="2432"/>
      <c r="H10" s="2432"/>
      <c r="I10" s="1833"/>
    </row>
    <row r="11" spans="1:12" ht="12.75">
      <c r="A11" s="3091"/>
      <c r="B11" s="3017"/>
      <c r="C11" s="3122"/>
      <c r="D11" s="3109"/>
      <c r="E11" s="140" t="s">
        <v>2134</v>
      </c>
      <c r="F11" s="2432"/>
      <c r="G11" s="2432"/>
      <c r="H11" s="2432"/>
      <c r="I11" s="1833"/>
    </row>
    <row r="12" spans="1:12" ht="12.75">
      <c r="A12" s="3091" t="s">
        <v>2135</v>
      </c>
      <c r="B12" s="3017">
        <v>15</v>
      </c>
      <c r="C12" s="3121"/>
      <c r="D12" s="3109"/>
      <c r="E12" s="140" t="s">
        <v>2136</v>
      </c>
      <c r="F12" s="2432"/>
      <c r="G12" s="2432"/>
      <c r="H12" s="2432"/>
      <c r="I12" s="1833"/>
    </row>
    <row r="13" spans="1:12" ht="12.75">
      <c r="A13" s="3091"/>
      <c r="B13" s="3017"/>
      <c r="C13" s="3122"/>
      <c r="D13" s="3109"/>
      <c r="E13" s="140" t="s">
        <v>2137</v>
      </c>
      <c r="F13" s="2432"/>
      <c r="G13" s="2432"/>
      <c r="H13" s="2432"/>
      <c r="I13" s="1833"/>
    </row>
    <row r="14" spans="1:12" ht="12.75">
      <c r="A14" s="3091" t="s">
        <v>2138</v>
      </c>
      <c r="B14" s="3017">
        <v>30</v>
      </c>
      <c r="C14" s="3121">
        <v>5</v>
      </c>
      <c r="D14" s="3109">
        <v>5</v>
      </c>
      <c r="E14" s="140" t="s">
        <v>2139</v>
      </c>
      <c r="F14" s="2432"/>
      <c r="G14" s="2432"/>
      <c r="H14" s="2432"/>
      <c r="I14" s="1833"/>
    </row>
    <row r="15" spans="1:12" ht="12.75">
      <c r="A15" s="3091"/>
      <c r="B15" s="3017"/>
      <c r="C15" s="3123"/>
      <c r="D15" s="3109"/>
      <c r="E15" s="140" t="s">
        <v>2140</v>
      </c>
      <c r="F15" s="2432"/>
      <c r="G15" s="2432"/>
      <c r="H15" s="2432"/>
      <c r="I15" s="1833"/>
    </row>
    <row r="16" spans="1:12" ht="12.75">
      <c r="A16" s="3091"/>
      <c r="B16" s="3017"/>
      <c r="C16" s="3122"/>
      <c r="D16" s="3109"/>
      <c r="E16" s="140" t="s">
        <v>2141</v>
      </c>
      <c r="F16" s="2432"/>
      <c r="G16" s="2432"/>
      <c r="H16" s="2432"/>
      <c r="I16" s="1833"/>
    </row>
    <row r="17" spans="1:35" ht="15">
      <c r="A17" s="2433" t="s">
        <v>2142</v>
      </c>
      <c r="B17" s="64"/>
      <c r="C17" s="141">
        <f>SUM(C5:C16)</f>
        <v>5</v>
      </c>
      <c r="D17" s="141">
        <f>SUM(D5:D16)</f>
        <v>5</v>
      </c>
      <c r="E17" s="138"/>
      <c r="F17" s="138"/>
      <c r="G17" s="138"/>
      <c r="H17" s="138"/>
      <c r="I17" s="138"/>
      <c r="K17" s="2431"/>
      <c r="L17" s="2434" t="s">
        <v>2143</v>
      </c>
      <c r="M17" s="2434" t="s">
        <v>2144</v>
      </c>
    </row>
    <row r="18" spans="1:35" ht="15.75" thickBot="1">
      <c r="A18" s="2435" t="s">
        <v>2145</v>
      </c>
      <c r="B18" s="2436"/>
      <c r="C18" s="142">
        <f>ROUND(C17/SUM(C17:D17),2)</f>
        <v>0.5</v>
      </c>
      <c r="D18" s="142">
        <f>1-C18</f>
        <v>0.5</v>
      </c>
      <c r="E18" s="138"/>
      <c r="F18" s="138"/>
      <c r="G18" s="138"/>
      <c r="H18" s="138"/>
      <c r="I18" s="138"/>
      <c r="K18" s="2431" t="s">
        <v>2146</v>
      </c>
      <c r="L18" s="2431">
        <f>IF(C1="",'数据-汇总表'!E3,SUMIF(项目类型,C1,'数据-汇总表'!E17:E26)+SUMIF(项目类型,C1,'数据-汇总表'!I17:I26))</f>
        <v>62915.380000000005</v>
      </c>
      <c r="M18" s="2431">
        <f>IF(C1="",'数据-汇总表'!E3,SUMIF(项目类型,C1,'数据-汇总表'!E17:E26))</f>
        <v>62915.380000000005</v>
      </c>
    </row>
    <row r="19" spans="1:35" ht="15">
      <c r="A19" s="2437" t="s">
        <v>2147</v>
      </c>
      <c r="B19" s="2438" t="s">
        <v>2148</v>
      </c>
      <c r="C19" s="143">
        <f ca="1">SUMIF(INDIRECT("'"&amp;C4&amp;"'"&amp;"!A:A"),结果表!B19,INDIRECT("'"&amp;C4&amp;"'"&amp;"!B:B"))</f>
        <v>23624</v>
      </c>
      <c r="D19" s="144">
        <f ca="1">SUMIF(INDIRECT("'"&amp;D4&amp;"'"&amp;"!A:A"),结果表!B19,INDIRECT("'"&amp;D4&amp;"'"&amp;"!B:B"))</f>
        <v>22647</v>
      </c>
      <c r="E19" s="2437" t="s">
        <v>2149</v>
      </c>
      <c r="F19" s="2438" t="s">
        <v>2148</v>
      </c>
      <c r="G19" s="145">
        <f ca="1">ROUND(C19*$C$18+D19*$D$18,0)</f>
        <v>23136</v>
      </c>
      <c r="H19" s="2439" t="s">
        <v>2150</v>
      </c>
      <c r="I19" s="138"/>
      <c r="K19" s="2431" t="s">
        <v>2151</v>
      </c>
      <c r="L19" s="2431">
        <f>IF(C1="",'数据-汇总表'!D3,SUMIF(项目类型,C1,'数据-汇总表'!D17:D26)+SUMIF(项目类型,C1,'数据-汇总表'!H17:H27))</f>
        <v>16031.32</v>
      </c>
      <c r="M19" s="2431">
        <f>IF(C1="",'数据-汇总表'!D3,SUMIF(项目类型,C1,'数据-汇总表'!D17:D26))</f>
        <v>16031.32</v>
      </c>
    </row>
    <row r="20" spans="1:35" ht="15">
      <c r="A20" s="2440"/>
      <c r="B20" s="1250" t="s">
        <v>2152</v>
      </c>
      <c r="C20" s="146">
        <f ca="1">SUMIF(INDIRECT("'"&amp;C4&amp;"'"&amp;"!A:A"),结果表!B20,INDIRECT("'"&amp;C4&amp;"'"&amp;"!B:B"))</f>
        <v>3755</v>
      </c>
      <c r="D20" s="147">
        <f ca="1">SUMIF(INDIRECT("'"&amp;D4&amp;"'"&amp;"!A:A"),结果表!B20,INDIRECT("'"&amp;D4&amp;"'"&amp;"!B:B"))</f>
        <v>3600</v>
      </c>
      <c r="E20" s="2440"/>
      <c r="F20" s="1250" t="s">
        <v>2152</v>
      </c>
      <c r="G20" s="148">
        <f ca="1">ROUND(C20*$C$18+D20*$D$18,0)</f>
        <v>3678</v>
      </c>
      <c r="H20" s="983" t="s">
        <v>2153</v>
      </c>
      <c r="I20" s="138"/>
    </row>
    <row r="21" spans="1:35" ht="15" customHeight="1" thickBot="1">
      <c r="A21" s="1003"/>
      <c r="B21" s="2441" t="s">
        <v>2154</v>
      </c>
      <c r="C21" s="789">
        <f ca="1">ROUND(C19*10000/L19,0)</f>
        <v>14736</v>
      </c>
      <c r="D21" s="790">
        <f ca="1">ROUND(D19*10000/L19,0)</f>
        <v>14127</v>
      </c>
      <c r="E21" s="1003"/>
      <c r="F21" s="2441" t="s">
        <v>2154</v>
      </c>
      <c r="G21" s="149">
        <f ca="1">ROUND(G19*10000/L19,0)</f>
        <v>14432</v>
      </c>
      <c r="H21" s="2442" t="s">
        <v>2153</v>
      </c>
      <c r="I21" s="138"/>
    </row>
    <row r="22" spans="1:35" ht="15" thickBot="1">
      <c r="A22" s="2283" t="s">
        <v>2155</v>
      </c>
      <c r="B22" s="2443"/>
      <c r="C22" s="2444"/>
      <c r="D22" s="791">
        <f ca="1">IF(C19&lt;D19,D19/C19-1,C19/D19-1)</f>
        <v>4.3140371793173538E-2</v>
      </c>
      <c r="E22" s="138"/>
      <c r="F22" s="138"/>
      <c r="G22" s="138"/>
      <c r="H22" s="138"/>
      <c r="I22" s="138"/>
    </row>
    <row r="23" spans="1:35" ht="13.5" thickBot="1">
      <c r="A23" s="2421"/>
      <c r="B23" s="2421"/>
      <c r="C23" s="2421"/>
      <c r="D23" s="2421"/>
      <c r="E23" s="138"/>
      <c r="F23" s="138"/>
      <c r="G23" s="138"/>
      <c r="H23" s="138"/>
      <c r="I23" s="138"/>
    </row>
    <row r="24" spans="1:35" ht="14.25">
      <c r="A24" s="3130" t="s">
        <v>2156</v>
      </c>
      <c r="B24" s="2438" t="s">
        <v>2148</v>
      </c>
      <c r="C24" s="145">
        <f>IF(B30=0,0,D30)</f>
        <v>0</v>
      </c>
      <c r="D24" s="2445"/>
      <c r="E24" s="138"/>
      <c r="F24" s="138"/>
      <c r="G24" s="138"/>
      <c r="H24" s="138"/>
      <c r="I24" s="138"/>
    </row>
    <row r="25" spans="1:35" ht="14.25">
      <c r="A25" s="3131"/>
      <c r="B25" s="1250" t="s">
        <v>2152</v>
      </c>
      <c r="C25" s="150">
        <f>IF(B30=0,0,C30)</f>
        <v>0</v>
      </c>
      <c r="D25" s="2446"/>
      <c r="E25" s="138"/>
      <c r="F25" s="138"/>
      <c r="G25" s="138"/>
      <c r="H25" s="138"/>
      <c r="I25" s="138"/>
    </row>
    <row r="26" spans="1:35" ht="13.5" customHeight="1">
      <c r="A26" s="2447" t="s">
        <v>2157</v>
      </c>
      <c r="B26" s="151" t="s">
        <v>2158</v>
      </c>
      <c r="C26" s="151" t="s">
        <v>2159</v>
      </c>
      <c r="D26" s="152" t="s">
        <v>2160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2161</v>
      </c>
      <c r="B30" s="151"/>
      <c r="C30" s="151"/>
      <c r="D30" s="151"/>
      <c r="E30" s="2928" t="s">
        <v>3037</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2162</v>
      </c>
      <c r="B32" s="2451"/>
      <c r="C32" s="153">
        <f ca="1">IF(D32="总价",G19-C24,G20-C25)</f>
        <v>23136</v>
      </c>
      <c r="D32" s="2452" t="s">
        <v>2163</v>
      </c>
      <c r="E32" s="138"/>
      <c r="F32" s="138"/>
      <c r="G32" s="138"/>
      <c r="H32" s="138"/>
      <c r="I32" s="138"/>
    </row>
    <row r="33" spans="1:15" ht="15">
      <c r="A33" s="960" t="s">
        <v>2164</v>
      </c>
      <c r="B33" s="2453"/>
      <c r="C33" s="2454"/>
      <c r="D33" s="2455"/>
      <c r="E33" s="2456" t="s">
        <v>2165</v>
      </c>
      <c r="F33" s="2457" t="str">
        <f>IF(D32="楼面单价","取值（单价）","取值（总价）")</f>
        <v>取值（总价）</v>
      </c>
      <c r="G33" s="138"/>
      <c r="H33" s="138"/>
      <c r="I33" s="138"/>
    </row>
    <row r="34" spans="1:15" ht="15">
      <c r="A34" s="2458"/>
      <c r="B34" s="2459"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2167</v>
      </c>
      <c r="F34" s="1738"/>
      <c r="G34" s="138"/>
      <c r="H34" s="138"/>
      <c r="I34" s="138"/>
    </row>
    <row r="35" spans="1:15" ht="15.75" thickBot="1">
      <c r="A35" s="2461"/>
      <c r="B35" s="2462"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2169</v>
      </c>
      <c r="F35" s="163"/>
      <c r="G35" s="138"/>
      <c r="H35" s="138"/>
      <c r="I35" s="138"/>
    </row>
    <row r="36" spans="1:15" ht="15.75" thickBot="1">
      <c r="A36" s="3110" t="s">
        <v>2170</v>
      </c>
      <c r="B36" s="2464" t="s">
        <v>2171</v>
      </c>
      <c r="C36" s="154"/>
      <c r="D36" s="2465"/>
      <c r="E36" s="2466"/>
      <c r="F36" s="2467"/>
      <c r="G36" s="138"/>
      <c r="H36" s="138"/>
      <c r="I36" s="138"/>
    </row>
    <row r="37" spans="1:15" ht="15.75" thickBot="1">
      <c r="A37" s="3111"/>
      <c r="B37" s="2269" t="s">
        <v>2172</v>
      </c>
      <c r="C37" s="156"/>
      <c r="D37" s="1395"/>
      <c r="E37" s="1395"/>
      <c r="F37" s="2467"/>
      <c r="G37" s="138"/>
      <c r="H37" s="138"/>
      <c r="I37" s="138"/>
    </row>
    <row r="38" spans="1:15" ht="15.75" thickBot="1">
      <c r="A38" s="3112"/>
      <c r="B38" s="2468" t="s">
        <v>2173</v>
      </c>
      <c r="C38" s="727"/>
      <c r="D38" s="2469" t="s">
        <v>2174</v>
      </c>
      <c r="E38" s="1395"/>
      <c r="F38" s="2467"/>
      <c r="G38" s="138"/>
      <c r="H38" s="138"/>
      <c r="I38" s="138"/>
    </row>
    <row r="39" spans="1:15" ht="15">
      <c r="A39" s="2440" t="s">
        <v>2175</v>
      </c>
      <c r="B39" s="2470" t="s">
        <v>2176</v>
      </c>
      <c r="C39" s="2471" t="s">
        <v>2177</v>
      </c>
      <c r="D39" s="2471" t="s">
        <v>2178</v>
      </c>
      <c r="E39" s="2472" t="s">
        <v>2179</v>
      </c>
      <c r="F39" s="2467"/>
      <c r="G39" s="138"/>
      <c r="H39" s="138"/>
      <c r="I39" s="138"/>
    </row>
    <row r="40" spans="1:15" ht="14.25">
      <c r="A40" s="2473" t="s">
        <v>2180</v>
      </c>
      <c r="B40" s="158"/>
      <c r="C40" s="159"/>
      <c r="D40" s="159"/>
      <c r="E40" s="160"/>
      <c r="F40" s="2467"/>
      <c r="G40" s="138"/>
      <c r="H40" s="138"/>
      <c r="I40" s="138"/>
    </row>
    <row r="41" spans="1:15" ht="14.25">
      <c r="A41" s="2473" t="s">
        <v>2181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2182</v>
      </c>
      <c r="B44" s="2478"/>
      <c r="C44" s="2478"/>
      <c r="D44" s="2479"/>
      <c r="E44" s="2479"/>
      <c r="F44" s="2480"/>
      <c r="G44" s="2480"/>
      <c r="H44" s="2480"/>
      <c r="I44" s="2480"/>
      <c r="J44" s="2481" t="s">
        <v>2183</v>
      </c>
      <c r="K44" s="2482"/>
      <c r="L44" s="2482"/>
      <c r="M44" s="2482"/>
      <c r="N44" s="2482"/>
      <c r="O44" s="2482"/>
    </row>
    <row r="45" spans="1:15" ht="14.25" customHeight="1" thickBot="1">
      <c r="A45" s="3127" t="s">
        <v>2184</v>
      </c>
      <c r="B45" s="3128"/>
      <c r="C45" s="3129"/>
      <c r="D45" s="164">
        <f ca="1">ROUND(H101*F45,0)</f>
        <v>23136</v>
      </c>
      <c r="E45" s="165" t="s">
        <v>2185</v>
      </c>
      <c r="F45" s="166">
        <v>1</v>
      </c>
      <c r="G45" s="167" t="s">
        <v>2186</v>
      </c>
      <c r="H45" s="138"/>
      <c r="I45" s="138"/>
      <c r="J45" s="3046" t="s">
        <v>2187</v>
      </c>
      <c r="K45" s="3046"/>
      <c r="L45" s="3046"/>
      <c r="M45" s="3046"/>
      <c r="N45" s="3046"/>
      <c r="O45" s="3046"/>
    </row>
    <row r="46" spans="1:15" ht="14.25" customHeight="1">
      <c r="A46" s="3124" t="s">
        <v>2188</v>
      </c>
      <c r="B46" s="3125"/>
      <c r="C46" s="3125"/>
      <c r="D46" s="3125"/>
      <c r="E46" s="3125"/>
      <c r="F46" s="3125"/>
      <c r="G46" s="3126"/>
      <c r="H46" s="2483"/>
      <c r="I46" s="168"/>
      <c r="J46" s="1811">
        <v>1</v>
      </c>
      <c r="K46" s="3046" t="s">
        <v>2189</v>
      </c>
      <c r="L46" s="3046"/>
      <c r="M46" s="3047"/>
      <c r="N46" s="3047"/>
      <c r="O46" s="3047"/>
    </row>
    <row r="47" spans="1:15" ht="12" customHeight="1">
      <c r="A47" s="169" t="s">
        <v>2190</v>
      </c>
      <c r="B47" s="170"/>
      <c r="C47" s="171"/>
      <c r="D47" s="172" t="s">
        <v>2191</v>
      </c>
      <c r="E47" s="24" t="s">
        <v>2192</v>
      </c>
      <c r="F47" s="173" t="s">
        <v>2193</v>
      </c>
      <c r="G47" s="174" t="s">
        <v>2194</v>
      </c>
      <c r="H47" s="2483"/>
      <c r="I47" s="168"/>
      <c r="J47" s="1811">
        <v>2</v>
      </c>
      <c r="K47" s="3046" t="s">
        <v>2195</v>
      </c>
      <c r="L47" s="3046"/>
      <c r="M47" s="3048">
        <f>'数据-取费表'!B2</f>
        <v>43487</v>
      </c>
      <c r="N47" s="3048"/>
      <c r="O47" s="3048"/>
    </row>
    <row r="48" spans="1:15" ht="25.5">
      <c r="A48" s="3114" t="s">
        <v>2196</v>
      </c>
      <c r="B48" s="3115"/>
      <c r="C48" s="3115"/>
      <c r="D48" s="140">
        <f>IF(H48="情况1",0,IF(H48="情况2",D52,IF(H48="情况3",D53,IF(H48="情况4",D54))))</f>
        <v>0</v>
      </c>
      <c r="E48" s="1800" t="str">
        <f>IF(H48="情况4","(销售额-原购置价)×税（费）率","销售额×税（费）率")</f>
        <v>销售额×税（费）率</v>
      </c>
      <c r="F48" s="175" t="str">
        <f>IF(H48="情况1","免征",'数据-取费表'!B41)</f>
        <v>免征</v>
      </c>
      <c r="G48" s="2484" t="s">
        <v>2197</v>
      </c>
      <c r="H48" s="2485" t="s">
        <v>2198</v>
      </c>
      <c r="I48" s="2483"/>
      <c r="J48" s="1811">
        <v>3</v>
      </c>
      <c r="K48" s="3046" t="s">
        <v>2199</v>
      </c>
      <c r="L48" s="3046"/>
      <c r="M48" s="3049">
        <f ca="1">H101</f>
        <v>23136</v>
      </c>
      <c r="N48" s="3049"/>
      <c r="O48" s="3049"/>
    </row>
    <row r="49" spans="1:35" ht="25.5" customHeight="1">
      <c r="A49" s="176" t="s">
        <v>2200</v>
      </c>
      <c r="B49" s="3094" t="s">
        <v>2201</v>
      </c>
      <c r="C49" s="3094"/>
      <c r="D49" s="177">
        <v>0</v>
      </c>
      <c r="E49" s="23" t="s">
        <v>2202</v>
      </c>
      <c r="F49" s="28" t="s">
        <v>34</v>
      </c>
      <c r="G49" s="3075"/>
      <c r="H49" s="138"/>
      <c r="I49" s="2486"/>
      <c r="J49" s="1811">
        <v>4</v>
      </c>
      <c r="K49" s="3046" t="str">
        <f>IF(项目基本情况!E8="房地产抵押价值","房地产抵押价值","抵押担保权已注销时的房地产抵押价值")</f>
        <v>抵押担保权已注销时的房地产抵押价值</v>
      </c>
      <c r="L49" s="3046"/>
      <c r="M49" s="3049" t="str">
        <f>IF(项目基本情况!E8="房地产抵押价值",H107,H109)</f>
        <v>——</v>
      </c>
      <c r="N49" s="3049"/>
      <c r="O49" s="3049"/>
    </row>
    <row r="50" spans="1:35" ht="25.5" customHeight="1">
      <c r="A50" s="178"/>
      <c r="B50" s="3094" t="s">
        <v>2203</v>
      </c>
      <c r="C50" s="3094"/>
      <c r="D50" s="179"/>
      <c r="E50" s="31"/>
      <c r="F50" s="180"/>
      <c r="G50" s="3076"/>
      <c r="H50" s="138"/>
      <c r="I50" s="2486"/>
      <c r="J50" s="3046" t="s">
        <v>2204</v>
      </c>
      <c r="K50" s="3046"/>
      <c r="L50" s="3046"/>
      <c r="M50" s="3046"/>
      <c r="N50" s="3046"/>
      <c r="O50" s="3046"/>
    </row>
    <row r="51" spans="1:35" ht="12" customHeight="1">
      <c r="A51" s="181"/>
      <c r="B51" s="3094" t="s">
        <v>2205</v>
      </c>
      <c r="C51" s="3094"/>
      <c r="D51" s="182"/>
      <c r="E51" s="30"/>
      <c r="F51" s="180"/>
      <c r="G51" s="3077"/>
      <c r="H51" s="138"/>
      <c r="I51" s="2486"/>
      <c r="J51" s="2487" t="s">
        <v>2206</v>
      </c>
      <c r="K51" s="3046" t="s">
        <v>2207</v>
      </c>
      <c r="L51" s="3046"/>
      <c r="M51" s="2487" t="s">
        <v>2208</v>
      </c>
      <c r="N51" s="2487" t="s">
        <v>2209</v>
      </c>
      <c r="O51" s="2487" t="s">
        <v>2210</v>
      </c>
    </row>
    <row r="52" spans="1:35" ht="24" customHeight="1">
      <c r="A52" s="183" t="s">
        <v>2211</v>
      </c>
      <c r="B52" s="3094" t="s">
        <v>2212</v>
      </c>
      <c r="C52" s="3094"/>
      <c r="D52" s="182">
        <f ca="1">ROUND(D45*'数据-取费表'!B41/(1+'数据-取费表'!C42),0)</f>
        <v>1234</v>
      </c>
      <c r="E52" s="11" t="s">
        <v>2213</v>
      </c>
      <c r="F52" s="184">
        <f>'数据-取费表'!B41</f>
        <v>5.6000000000000001E-2</v>
      </c>
      <c r="G52" s="2488"/>
      <c r="H52" s="138"/>
      <c r="I52" s="2486"/>
      <c r="J52" s="1811">
        <v>1</v>
      </c>
      <c r="K52" s="3069" t="s">
        <v>2214</v>
      </c>
      <c r="L52" s="3069"/>
      <c r="M52" s="1753">
        <f>D48</f>
        <v>0</v>
      </c>
      <c r="N52" s="1811" t="str">
        <f>E48</f>
        <v>销售额×税（费）率</v>
      </c>
      <c r="O52" s="1754" t="str">
        <f>F48</f>
        <v>免征</v>
      </c>
    </row>
    <row r="53" spans="1:35" ht="12" customHeight="1">
      <c r="A53" s="183" t="s">
        <v>2215</v>
      </c>
      <c r="B53" s="3095" t="s">
        <v>2216</v>
      </c>
      <c r="C53" s="3096"/>
      <c r="D53" s="182">
        <f ca="1">ROUND(D45*'数据-取费表'!B41/(1+'数据-取费表'!C42),0)</f>
        <v>1234</v>
      </c>
      <c r="E53" s="11" t="s">
        <v>2213</v>
      </c>
      <c r="F53" s="184">
        <f>'数据-取费表'!B41</f>
        <v>5.6000000000000001E-2</v>
      </c>
      <c r="G53" s="2488"/>
      <c r="H53" s="138"/>
      <c r="I53" s="2486"/>
      <c r="J53" s="1811">
        <v>2</v>
      </c>
      <c r="K53" s="3069" t="s">
        <v>2217</v>
      </c>
      <c r="L53" s="3069"/>
      <c r="M53" s="1753">
        <f t="shared" ref="M53:O54" ca="1" si="0">D55</f>
        <v>12</v>
      </c>
      <c r="N53" s="1811" t="str">
        <f t="shared" si="0"/>
        <v>销售额×税（费）率</v>
      </c>
      <c r="O53" s="1754">
        <f t="shared" si="0"/>
        <v>5.0000000000000001E-4</v>
      </c>
    </row>
    <row r="54" spans="1:35" ht="12" customHeight="1">
      <c r="A54" s="183" t="s">
        <v>2218</v>
      </c>
      <c r="B54" s="3095" t="s">
        <v>2219</v>
      </c>
      <c r="C54" s="3096"/>
      <c r="D54" s="182">
        <f ca="1">C68</f>
        <v>1234</v>
      </c>
      <c r="E54" s="30" t="s">
        <v>2220</v>
      </c>
      <c r="F54" s="184">
        <f>'数据-取费表'!B41</f>
        <v>5.6000000000000001E-2</v>
      </c>
      <c r="G54" s="2488"/>
      <c r="H54" s="2489"/>
      <c r="I54" s="2486"/>
      <c r="J54" s="1811">
        <v>3</v>
      </c>
      <c r="K54" s="3069" t="s">
        <v>2221</v>
      </c>
      <c r="L54" s="3069"/>
      <c r="M54" s="1753">
        <f t="shared" ca="1" si="0"/>
        <v>13095</v>
      </c>
      <c r="N54" s="1811" t="str">
        <f t="shared" si="0"/>
        <v>增值额×税（费）率</v>
      </c>
      <c r="O54" s="1755" t="str">
        <f t="shared" si="0"/>
        <v>——</v>
      </c>
    </row>
    <row r="55" spans="1:35" ht="24" customHeight="1">
      <c r="A55" s="3133" t="s">
        <v>2222</v>
      </c>
      <c r="B55" s="3115"/>
      <c r="C55" s="3115"/>
      <c r="D55" s="185">
        <f ca="1">IF(H55="个人住宅",0,ROUND(D45*I55,0))</f>
        <v>12</v>
      </c>
      <c r="E55" s="11" t="s">
        <v>2223</v>
      </c>
      <c r="F55" s="184">
        <f>IF(H55="正常",I55,"免征")</f>
        <v>5.0000000000000001E-4</v>
      </c>
      <c r="G55" s="2488"/>
      <c r="H55" s="2485" t="s">
        <v>2224</v>
      </c>
      <c r="I55" s="186">
        <f>'数据-取费表'!B49</f>
        <v>5.0000000000000001E-4</v>
      </c>
      <c r="J55" s="1811" t="str">
        <f>IF(H59="非个人房产","",4)</f>
        <v/>
      </c>
      <c r="K55" s="3069" t="str">
        <f>IF(H59="非个人房产","——","个人所得税")</f>
        <v>——</v>
      </c>
      <c r="L55" s="3069"/>
      <c r="M55" s="1756" t="str">
        <f>D59</f>
        <v>——</v>
      </c>
      <c r="N55" s="1809" t="str">
        <f>E59</f>
        <v>——</v>
      </c>
      <c r="O55" s="1757" t="str">
        <f>F59</f>
        <v>——</v>
      </c>
    </row>
    <row r="56" spans="1:35" ht="24.75">
      <c r="A56" s="3133" t="s">
        <v>2225</v>
      </c>
      <c r="B56" s="3115"/>
      <c r="C56" s="3115"/>
      <c r="D56" s="185">
        <f ca="1">IF(H56="个人住宅",D57,D58)</f>
        <v>13095</v>
      </c>
      <c r="E56" s="11" t="s">
        <v>2226</v>
      </c>
      <c r="F56" s="184" t="str">
        <f>IF(H56="正常",F58,"免征")</f>
        <v>——</v>
      </c>
      <c r="G56" s="2490" t="s">
        <v>2227</v>
      </c>
      <c r="H56" s="2491" t="s">
        <v>2224</v>
      </c>
      <c r="I56" s="2492"/>
      <c r="J56" s="1811" t="str">
        <f>IF(项目基本情况!K6="上海银行",IF(J55="",4,J55+1),"")</f>
        <v/>
      </c>
      <c r="K56" s="3052" t="str">
        <f>IF(项目基本情况!K6="上海银行","其他处置费用","")</f>
        <v/>
      </c>
      <c r="L56" s="3053"/>
      <c r="M56" s="1753" t="str">
        <f>IF(项目基本情况!K6="上海银行",M69,"")</f>
        <v/>
      </c>
      <c r="N56" s="3055" t="str">
        <f>IF(项目基本情况!K6="上海银行","包含处置中涉及的律师、诉讼、拍卖、评估等费用","")</f>
        <v/>
      </c>
      <c r="O56" s="3056"/>
    </row>
    <row r="57" spans="1:35" ht="12.75">
      <c r="A57" s="183" t="s">
        <v>2200</v>
      </c>
      <c r="B57" s="3100" t="s">
        <v>2228</v>
      </c>
      <c r="C57" s="3101"/>
      <c r="D57" s="187">
        <v>0</v>
      </c>
      <c r="E57" s="23" t="s">
        <v>2202</v>
      </c>
      <c r="F57" s="155"/>
      <c r="G57" s="2488"/>
      <c r="H57" s="2492"/>
      <c r="I57" s="2492"/>
      <c r="J57" s="3069">
        <f>IF(AND(J55="",J56=""),4,IF(项目基本情况!K6="上海银行",结果表!J56+1,结果表!J55+1))</f>
        <v>4</v>
      </c>
      <c r="K57" s="3069" t="s">
        <v>2229</v>
      </c>
      <c r="L57" s="2493" t="s">
        <v>2230</v>
      </c>
      <c r="M57" s="1758"/>
      <c r="N57" s="1759">
        <f ca="1">SUMIF(M52:M56,"&lt;9e307")</f>
        <v>13107</v>
      </c>
      <c r="O57" s="2494"/>
      <c r="P57" s="1752" t="e">
        <f ca="1">N57/M49</f>
        <v>#VALUE!</v>
      </c>
    </row>
    <row r="58" spans="1:35" ht="24.75">
      <c r="A58" s="183" t="s">
        <v>2211</v>
      </c>
      <c r="B58" s="3100" t="s">
        <v>2231</v>
      </c>
      <c r="C58" s="3113"/>
      <c r="D58" s="185">
        <f ca="1">IF(H58="转让取得",C81,C97)</f>
        <v>13095</v>
      </c>
      <c r="E58" s="11" t="s">
        <v>2226</v>
      </c>
      <c r="F58" s="24" t="s">
        <v>34</v>
      </c>
      <c r="G58" s="2488"/>
      <c r="H58" s="2491" t="s">
        <v>2232</v>
      </c>
      <c r="I58" s="2492"/>
      <c r="J58" s="3069"/>
      <c r="K58" s="3069"/>
      <c r="L58" s="2493" t="s">
        <v>2233</v>
      </c>
      <c r="M58" s="1760"/>
      <c r="N58" s="2495" t="str">
        <f ca="1">NUMBERSTRING(INT(N57*10000),2)&amp;"元整"</f>
        <v>壹亿叁仟壹佰零柒万元整</v>
      </c>
      <c r="O58" s="2496"/>
    </row>
    <row r="59" spans="1:35" ht="24.75" thickBot="1">
      <c r="A59" s="3073" t="s">
        <v>2234</v>
      </c>
      <c r="B59" s="3074"/>
      <c r="C59" s="3074"/>
      <c r="D59" s="188" t="str">
        <f>IF(H59="非个人房产","——",IF(H59="个人住宅",0,ROUND(D45*I59,0)))</f>
        <v>——</v>
      </c>
      <c r="E59" s="189" t="str">
        <f>IF(H59="非个人房产","——","销售额×税（费）率")</f>
        <v>——</v>
      </c>
      <c r="F59" s="190" t="str">
        <f>IF(H59="非个人房产","——",IF(H59="个人住宅","免征",I59))</f>
        <v>——</v>
      </c>
      <c r="G59" s="2497" t="s">
        <v>2227</v>
      </c>
      <c r="H59" s="2491" t="s">
        <v>2235</v>
      </c>
      <c r="I59" s="191">
        <v>0.01</v>
      </c>
      <c r="J59" s="3071">
        <f>J57+1</f>
        <v>5</v>
      </c>
      <c r="K59" s="3069" t="s">
        <v>2236</v>
      </c>
      <c r="L59" s="1811" t="s">
        <v>2230</v>
      </c>
      <c r="M59" s="1761"/>
      <c r="N59" s="1762" t="e">
        <f ca="1">M49-N57</f>
        <v>#VALUE!</v>
      </c>
      <c r="O59" s="2498"/>
    </row>
    <row r="60" spans="1:35" ht="12" customHeight="1">
      <c r="A60" s="2499"/>
      <c r="B60" s="2421"/>
      <c r="C60" s="2421"/>
      <c r="D60" s="2421"/>
      <c r="E60" s="2169"/>
      <c r="F60" s="2492"/>
      <c r="G60" s="2492"/>
      <c r="H60" s="2500"/>
      <c r="I60" s="138"/>
      <c r="J60" s="3072"/>
      <c r="K60" s="3069"/>
      <c r="L60" s="2493" t="s">
        <v>2233</v>
      </c>
      <c r="M60" s="1760"/>
      <c r="N60" s="2495" t="e">
        <f ca="1">NUMBERSTRING(INT(N59*10000),2)&amp;"元整"</f>
        <v>#VALUE!</v>
      </c>
      <c r="O60" s="2496"/>
    </row>
    <row r="61" spans="1:35" ht="13.5" thickBot="1">
      <c r="A61" s="3132" t="s">
        <v>2237</v>
      </c>
      <c r="B61" s="3132"/>
      <c r="C61" s="3132"/>
      <c r="D61" s="3132"/>
      <c r="E61" s="3132"/>
      <c r="F61" s="2492"/>
      <c r="G61" s="2492"/>
      <c r="H61" s="2500"/>
      <c r="I61" s="138"/>
      <c r="J61" s="1811">
        <f>J59+1</f>
        <v>6</v>
      </c>
      <c r="K61" s="3069" t="s">
        <v>2238</v>
      </c>
      <c r="L61" s="3069"/>
      <c r="M61" s="1763"/>
      <c r="N61" s="1764" t="e">
        <f ca="1">ROUND(N59*10000/'数据-汇总表'!E3,0)</f>
        <v>#VALUE!</v>
      </c>
      <c r="O61" s="2501"/>
    </row>
    <row r="62" spans="1:35" ht="12.75">
      <c r="A62" s="3089" t="s">
        <v>2239</v>
      </c>
      <c r="B62" s="3090"/>
      <c r="C62" s="1803"/>
      <c r="D62" s="1803" t="s">
        <v>2240</v>
      </c>
      <c r="E62" s="192" t="s">
        <v>2241</v>
      </c>
      <c r="F62" s="2492"/>
      <c r="G62" s="2492"/>
      <c r="H62" s="2500"/>
      <c r="I62" s="138"/>
    </row>
    <row r="63" spans="1:35" ht="12.75">
      <c r="A63" s="203" t="s">
        <v>775</v>
      </c>
      <c r="B63" s="193" t="s">
        <v>2242</v>
      </c>
      <c r="C63" s="194">
        <f ca="1">ROUND((C64+C65)/(1+'数据-取费表'!C42),0)</f>
        <v>22034</v>
      </c>
      <c r="D63" s="195"/>
      <c r="E63" s="196"/>
      <c r="F63" s="2492"/>
      <c r="G63" s="2492"/>
      <c r="H63" s="2500"/>
      <c r="I63" s="138"/>
      <c r="J63" s="3054" t="s">
        <v>2243</v>
      </c>
      <c r="K63" s="2502" t="s">
        <v>2244</v>
      </c>
      <c r="L63" s="1751" t="e">
        <f>IF(M49&gt;10000,M49*0.5%,IF(AND(M49&gt;1000,M49&lt;=10000),M49*1%,IF(AND(M49&gt;100,M49&lt;=1000),M49*3%,IF(AND(M49&gt;10,M49&lt;=100),M49*5%,M49*8%))))</f>
        <v>#VALUE!</v>
      </c>
      <c r="M63" s="24" t="e">
        <f>ROUND(L63,1)</f>
        <v>#VALUE!</v>
      </c>
      <c r="Z63" s="2426"/>
      <c r="AI63" s="2427"/>
    </row>
    <row r="64" spans="1:35" ht="14.25" customHeight="1">
      <c r="A64" s="197" t="s">
        <v>770</v>
      </c>
      <c r="B64" s="198" t="s">
        <v>2245</v>
      </c>
      <c r="C64" s="199">
        <f ca="1">D45</f>
        <v>23136</v>
      </c>
      <c r="D64" s="200" t="s">
        <v>32</v>
      </c>
      <c r="E64" s="201"/>
      <c r="F64" s="2492"/>
      <c r="G64" s="2492"/>
      <c r="H64" s="2500"/>
      <c r="I64" s="138"/>
      <c r="J64" s="3054"/>
      <c r="K64" s="2502" t="s">
        <v>2246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6"/>
      <c r="AI64" s="2427"/>
    </row>
    <row r="65" spans="1:35" ht="14.25" customHeight="1">
      <c r="A65" s="197" t="s">
        <v>771</v>
      </c>
      <c r="B65" s="198" t="s">
        <v>2248</v>
      </c>
      <c r="C65" s="202"/>
      <c r="D65" s="200"/>
      <c r="E65" s="201"/>
      <c r="F65" s="2492"/>
      <c r="G65" s="2492"/>
      <c r="H65" s="2500"/>
      <c r="I65" s="138"/>
      <c r="J65" s="3054"/>
      <c r="K65" s="2502" t="s">
        <v>2249</v>
      </c>
      <c r="L65" s="1751" t="e">
        <f>IF(M49&gt;1000,M49*0.1%,IF(AND(M49&gt;500,M49&lt;=1000),M49*0.5%,IF(AND(M49&gt;50,M49&lt;=500),M49*1%,IF(AND(M49&gt;1,M49&lt;=50),M49*1.5%))))</f>
        <v>#VALUE!</v>
      </c>
      <c r="M65" s="24" t="e">
        <f t="shared" si="1"/>
        <v>#VALUE!</v>
      </c>
      <c r="N65" s="138" t="s">
        <v>2247</v>
      </c>
      <c r="Z65" s="2426"/>
      <c r="AI65" s="2427"/>
    </row>
    <row r="66" spans="1:35" ht="14.25" customHeight="1">
      <c r="A66" s="203" t="s">
        <v>772</v>
      </c>
      <c r="B66" s="204" t="s">
        <v>2250</v>
      </c>
      <c r="C66" s="205"/>
      <c r="D66" s="206" t="s">
        <v>32</v>
      </c>
      <c r="E66" s="1775" t="s">
        <v>1367</v>
      </c>
      <c r="F66" s="2492"/>
      <c r="G66" s="2492"/>
      <c r="H66" s="2500"/>
      <c r="I66" s="138"/>
      <c r="J66" s="3054"/>
      <c r="K66" s="2502" t="s">
        <v>2251</v>
      </c>
      <c r="L66" s="1751" t="e">
        <f>M49*0.5%</f>
        <v>#VALUE!</v>
      </c>
      <c r="M66" s="24" t="e">
        <f>IF(L66&gt;0.5,0.5,ROUND(L66,0))</f>
        <v>#VALUE!</v>
      </c>
      <c r="N66" s="138" t="s">
        <v>2252</v>
      </c>
      <c r="Z66" s="2426"/>
      <c r="AI66" s="2427"/>
    </row>
    <row r="67" spans="1:35" ht="14.25" customHeight="1">
      <c r="A67" s="203" t="s">
        <v>773</v>
      </c>
      <c r="B67" s="204" t="s">
        <v>2253</v>
      </c>
      <c r="C67" s="207">
        <f ca="1">C63-C66</f>
        <v>22034</v>
      </c>
      <c r="D67" s="200" t="s">
        <v>32</v>
      </c>
      <c r="E67" s="201"/>
      <c r="F67" s="2492"/>
      <c r="G67" s="2492"/>
      <c r="H67" s="2500"/>
      <c r="I67" s="138"/>
      <c r="J67" s="3054"/>
      <c r="K67" s="2502" t="s">
        <v>2254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2255</v>
      </c>
      <c r="C68" s="210">
        <f ca="1">IF(C67&lt;=0,0,ROUND(C67*D68,0))</f>
        <v>1234</v>
      </c>
      <c r="D68" s="211">
        <f>'数据-取费表'!B41</f>
        <v>5.6000000000000001E-2</v>
      </c>
      <c r="E68" s="212"/>
      <c r="F68" s="2492"/>
      <c r="G68" s="2492"/>
      <c r="H68" s="2500"/>
      <c r="I68" s="138"/>
      <c r="J68" s="3054"/>
      <c r="K68" s="2502" t="s">
        <v>2256</v>
      </c>
      <c r="L68" s="1751"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9"/>
      <c r="G69" s="2169"/>
      <c r="H69" s="2168"/>
      <c r="I69" s="2421"/>
      <c r="J69" s="3054"/>
      <c r="K69" s="2502" t="s">
        <v>2257</v>
      </c>
      <c r="L69" s="2508"/>
      <c r="M69" s="24" t="e">
        <f>ROUND(SUM(M63:M68),0)</f>
        <v>#VALUE!</v>
      </c>
      <c r="N69" s="1752"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8" t="s">
        <v>2258</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9" t="s">
        <v>2239</v>
      </c>
      <c r="B71" s="3090"/>
      <c r="C71" s="1803"/>
      <c r="D71" s="1803" t="s">
        <v>2240</v>
      </c>
      <c r="E71" s="213" t="s">
        <v>2241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2259</v>
      </c>
      <c r="C72" s="207">
        <f ca="1">ROUND(D45/(1+'数据-取费表'!C42),0)</f>
        <v>22034</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2260</v>
      </c>
      <c r="C73" s="207">
        <f ca="1">C74+C78</f>
        <v>132</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2261</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2262</v>
      </c>
      <c r="C75" s="218"/>
      <c r="D75" s="200" t="s">
        <v>32</v>
      </c>
      <c r="E75" s="219" t="s">
        <v>2263</v>
      </c>
      <c r="F75" s="2514" t="s">
        <v>2264</v>
      </c>
      <c r="G75" s="219" t="s">
        <v>2265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2266</v>
      </c>
      <c r="C76" s="200">
        <f>IF(F75="购房发票",ROUND(C75*H75*D76,0),0)</f>
        <v>0</v>
      </c>
      <c r="D76" s="222">
        <v>0.05</v>
      </c>
      <c r="E76" s="3095" t="s">
        <v>2267</v>
      </c>
      <c r="F76" s="3094"/>
      <c r="G76" s="3094"/>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6" t="s">
        <v>2270</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2271</v>
      </c>
      <c r="C78" s="225">
        <f ca="1">ROUND(D45*D78/(1+'数据-取费表'!C42),0)</f>
        <v>132</v>
      </c>
      <c r="D78" s="226">
        <f>'数据-取费表'!B43</f>
        <v>6.000000000000001E-3</v>
      </c>
      <c r="E78" s="3086" t="s">
        <v>2272</v>
      </c>
      <c r="F78" s="3087"/>
      <c r="G78" s="3087"/>
      <c r="H78" s="308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2273</v>
      </c>
      <c r="C79" s="207">
        <f ca="1">C72-C73</f>
        <v>21902</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2274</v>
      </c>
      <c r="C80" s="227">
        <f ca="1">IF(C79&lt;=0,0,C79/C73)</f>
        <v>165.92424242424244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2275</v>
      </c>
      <c r="C81" s="228">
        <f ca="1">ROUND(IF(C79&lt;=0,0,IF(C80&gt;=200%,C79*60%-C73*35%,IF(C80&gt;=100%,C79*50%-C73*15%,IF(C80&gt;=50%,C79*40%-C73*5%,IF(C80&lt;50%,C79*30%,0))))),0)</f>
        <v>13095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8" t="s">
        <v>2276</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9" t="s">
        <v>2239</v>
      </c>
      <c r="B84" s="3090"/>
      <c r="C84" s="1803"/>
      <c r="D84" s="1803" t="s">
        <v>2240</v>
      </c>
      <c r="E84" s="213" t="s">
        <v>2241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2259</v>
      </c>
      <c r="C85" s="207">
        <f ca="1">ROUND(D45/(1+'数据-取费表'!C42),0)</f>
        <v>22034</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2260</v>
      </c>
      <c r="C86" s="207">
        <f ca="1">IF(H88="仅含出让金",C87+C90+C91+C92+C93+C94,C87+C91+C92+C93+C94)</f>
        <v>132</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2277</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2278</v>
      </c>
      <c r="C88" s="236"/>
      <c r="D88" s="226"/>
      <c r="E88" s="237" t="s">
        <v>2279</v>
      </c>
      <c r="F88" s="1799"/>
      <c r="G88" s="238" t="s">
        <v>2280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2268</v>
      </c>
      <c r="C89" s="225">
        <f>ROUND(C88*D89,0)</f>
        <v>0</v>
      </c>
      <c r="D89" s="226">
        <f>'数据-取费表'!B48+'数据-取费表'!B49</f>
        <v>3.0499999999999999E-2</v>
      </c>
      <c r="E89" s="237" t="s">
        <v>2281</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2282</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2283</v>
      </c>
      <c r="B91" s="198" t="s">
        <v>2284</v>
      </c>
      <c r="C91" s="225">
        <f>IF(H91="——",成本法!C33,I91)</f>
        <v>0</v>
      </c>
      <c r="D91" s="226"/>
      <c r="E91" s="3086" t="s">
        <v>2285</v>
      </c>
      <c r="F91" s="3087"/>
      <c r="G91" s="3087"/>
      <c r="H91" s="2521" t="s">
        <v>2286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2287</v>
      </c>
      <c r="B92" s="198" t="s">
        <v>2288</v>
      </c>
      <c r="C92" s="225">
        <f>ROUND((C87+C90+C91)*D92,0)</f>
        <v>0</v>
      </c>
      <c r="D92" s="226">
        <v>0.1</v>
      </c>
      <c r="E92" s="3086" t="s">
        <v>2289</v>
      </c>
      <c r="F92" s="3087"/>
      <c r="G92" s="3087"/>
      <c r="H92" s="308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2290</v>
      </c>
      <c r="B93" s="198" t="s">
        <v>2271</v>
      </c>
      <c r="C93" s="225">
        <f ca="1">ROUND(D45*D93/(1+'数据-取费表'!C42),0)</f>
        <v>132</v>
      </c>
      <c r="D93" s="226">
        <f>'数据-取费表'!B43</f>
        <v>6.000000000000001E-3</v>
      </c>
      <c r="E93" s="3086" t="s">
        <v>2272</v>
      </c>
      <c r="F93" s="3087"/>
      <c r="G93" s="3087"/>
      <c r="H93" s="308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2291</v>
      </c>
      <c r="B94" s="198" t="s">
        <v>2292</v>
      </c>
      <c r="C94" s="236">
        <f>ROUND((C87+C90+C91)*D94,0)</f>
        <v>0</v>
      </c>
      <c r="D94" s="226">
        <v>0.2</v>
      </c>
      <c r="E94" s="3134" t="s">
        <v>2293</v>
      </c>
      <c r="F94" s="3135"/>
      <c r="G94" s="3135"/>
      <c r="H94" s="313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2273</v>
      </c>
      <c r="C95" s="207">
        <f ca="1">ROUND(C85-C86,0)</f>
        <v>21902</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2274</v>
      </c>
      <c r="C96" s="227">
        <f ca="1">IF(C95&lt;=0,0,C95/C86)</f>
        <v>165.92424242424244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2275</v>
      </c>
      <c r="C97" s="228">
        <f ca="1">ROUND(IF(C95&lt;=0,0,IF(C96&gt;=200%,C95*60%-C86*35%,IF(C96&gt;=100%,C95*50%-C86*15%,IF(C96&gt;=50%,C95*40%-C86*5%,IF(C96&lt;50%,C95*30%,0))))),0)</f>
        <v>13095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2294</v>
      </c>
      <c r="B99" s="2421"/>
      <c r="C99" s="2421"/>
      <c r="D99" s="2421"/>
      <c r="E99" s="2169"/>
      <c r="F99" s="2169"/>
      <c r="G99" s="2169"/>
      <c r="H99" s="2168"/>
      <c r="I99" s="138"/>
    </row>
    <row r="100" spans="1:35" ht="18.75" customHeight="1">
      <c r="A100" s="3038" t="s">
        <v>2295</v>
      </c>
      <c r="B100" s="3039"/>
      <c r="C100" s="3039"/>
      <c r="D100" s="3070"/>
      <c r="E100" s="3039" t="s">
        <v>2296</v>
      </c>
      <c r="F100" s="3039"/>
      <c r="G100" s="3039"/>
      <c r="H100" s="3070"/>
      <c r="I100" s="138"/>
    </row>
    <row r="101" spans="1:35" ht="18.75" customHeight="1">
      <c r="A101" s="3078" t="s">
        <v>2297</v>
      </c>
      <c r="B101" s="3079"/>
      <c r="C101" s="736" t="str">
        <f>C4</f>
        <v>成本法</v>
      </c>
      <c r="D101" s="737" t="str">
        <f>D4</f>
        <v>假设开发法</v>
      </c>
      <c r="E101" s="3050" t="s">
        <v>2298</v>
      </c>
      <c r="F101" s="3051"/>
      <c r="G101" s="2523" t="s">
        <v>2299</v>
      </c>
      <c r="H101" s="1048">
        <f ca="1">H118</f>
        <v>23136</v>
      </c>
      <c r="I101" s="138"/>
    </row>
    <row r="102" spans="1:35" ht="18.75" customHeight="1">
      <c r="A102" s="3080" t="s">
        <v>2300</v>
      </c>
      <c r="B102" s="2523" t="s">
        <v>2299</v>
      </c>
      <c r="C102" s="736">
        <f ca="1">C19</f>
        <v>23624</v>
      </c>
      <c r="D102" s="737">
        <f ca="1">D19</f>
        <v>22647</v>
      </c>
      <c r="E102" s="3050"/>
      <c r="F102" s="3051"/>
      <c r="G102" s="2523" t="s">
        <v>2301</v>
      </c>
      <c r="H102" s="371">
        <f ca="1">I118</f>
        <v>3677</v>
      </c>
      <c r="I102" s="138"/>
    </row>
    <row r="103" spans="1:35" ht="42.75" customHeight="1">
      <c r="A103" s="3080"/>
      <c r="B103" s="2523" t="s">
        <v>2301</v>
      </c>
      <c r="C103" s="738">
        <f ca="1">C20</f>
        <v>3755</v>
      </c>
      <c r="D103" s="739">
        <f ca="1">D20</f>
        <v>3600</v>
      </c>
      <c r="E103" s="3044" t="s">
        <v>2302</v>
      </c>
      <c r="F103" s="3045"/>
      <c r="G103" s="2524" t="s">
        <v>2303</v>
      </c>
      <c r="H103" s="1048">
        <f>IF(D36="正常操作",H104+H105+H106,H105+H106)</f>
        <v>0</v>
      </c>
      <c r="I103" s="138"/>
    </row>
    <row r="104" spans="1:35" ht="18.75" customHeight="1">
      <c r="A104" s="3080" t="s">
        <v>2304</v>
      </c>
      <c r="B104" s="2525" t="s">
        <v>2299</v>
      </c>
      <c r="C104" s="740">
        <f ca="1">H118</f>
        <v>23136</v>
      </c>
      <c r="D104" s="741"/>
      <c r="E104" s="2269" t="s">
        <v>2305</v>
      </c>
      <c r="F104" s="2261"/>
      <c r="G104" s="2524" t="s">
        <v>2303</v>
      </c>
      <c r="H104" s="1049">
        <f>IF(D36="同一抵押权人同一抵押物续贷",C36&amp;"（未扣减，详见特别提示）",C36)</f>
        <v>0</v>
      </c>
      <c r="I104" s="138"/>
    </row>
    <row r="105" spans="1:35" ht="18.75" customHeight="1" thickBot="1">
      <c r="A105" s="3092"/>
      <c r="B105" s="2526" t="s">
        <v>2301</v>
      </c>
      <c r="C105" s="742">
        <f ca="1">I118</f>
        <v>3677</v>
      </c>
      <c r="D105" s="743"/>
      <c r="E105" s="2269" t="s">
        <v>2306</v>
      </c>
      <c r="F105" s="2261"/>
      <c r="G105" s="2524" t="s">
        <v>2303</v>
      </c>
      <c r="H105" s="1049">
        <f>C37</f>
        <v>0</v>
      </c>
      <c r="I105" s="138"/>
    </row>
    <row r="106" spans="1:35" ht="18.75" customHeight="1">
      <c r="A106" s="2421" t="s">
        <v>2307</v>
      </c>
      <c r="B106" s="2421"/>
      <c r="C106" s="2421"/>
      <c r="D106" s="2421"/>
      <c r="E106" s="2527" t="s">
        <v>2308</v>
      </c>
      <c r="F106" s="2261"/>
      <c r="G106" s="2524" t="s">
        <v>2303</v>
      </c>
      <c r="H106" s="1049">
        <f>C38</f>
        <v>0</v>
      </c>
      <c r="I106" s="138"/>
    </row>
    <row r="107" spans="1:35" ht="18.75" customHeight="1">
      <c r="A107" s="138"/>
      <c r="B107" s="138"/>
      <c r="C107" s="138"/>
      <c r="D107" s="138"/>
      <c r="E107" s="3081" t="str">
        <f>IF(项目基本情况!E8="已注销","——","3.房地产抵押价值")</f>
        <v>3.房地产抵押价值</v>
      </c>
      <c r="F107" s="3051"/>
      <c r="G107" s="2523" t="s">
        <v>2299</v>
      </c>
      <c r="H107" s="1048">
        <f ca="1">IF(E107="——","——",H101-H103)</f>
        <v>23136</v>
      </c>
      <c r="I107" s="138"/>
    </row>
    <row r="108" spans="1:35" ht="18.75" customHeight="1">
      <c r="A108" s="138"/>
      <c r="B108" s="138"/>
      <c r="C108" s="138"/>
      <c r="D108" s="138"/>
      <c r="E108" s="3081"/>
      <c r="F108" s="3051"/>
      <c r="G108" s="2523" t="s">
        <v>2301</v>
      </c>
      <c r="H108" s="371">
        <f ca="1">ROUND(H107*10000/'数据-汇总表'!E3,0)</f>
        <v>3677</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3" t="s">
        <v>2299</v>
      </c>
      <c r="H109" s="348" t="str">
        <f>IF(E109="——","——",H101-H105-H106)</f>
        <v>——</v>
      </c>
      <c r="I109" s="138"/>
    </row>
    <row r="110" spans="1:35" ht="18.75" customHeight="1">
      <c r="A110" s="138"/>
      <c r="B110" s="138"/>
      <c r="C110" s="138"/>
      <c r="D110" s="138"/>
      <c r="E110" s="3081"/>
      <c r="F110" s="3051"/>
      <c r="G110" s="2523" t="s">
        <v>2301</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3" t="s">
        <v>2299</v>
      </c>
      <c r="H111" s="1048" t="str">
        <f>IF(E111="——","——",N59)</f>
        <v>——</v>
      </c>
      <c r="I111" s="138"/>
    </row>
    <row r="112" spans="1:35" ht="18.75" customHeight="1" thickBot="1">
      <c r="A112" s="138"/>
      <c r="B112" s="138"/>
      <c r="C112" s="138"/>
      <c r="D112" s="138"/>
      <c r="E112" s="3084"/>
      <c r="F112" s="3085"/>
      <c r="G112" s="2528" t="s">
        <v>2301</v>
      </c>
      <c r="H112" s="790" t="str">
        <f>IF(E111="——","——",N61)</f>
        <v>——</v>
      </c>
      <c r="I112" s="138"/>
    </row>
    <row r="113" spans="1:11" ht="18.75" customHeight="1">
      <c r="A113" s="138"/>
      <c r="B113" s="138"/>
      <c r="C113" s="138"/>
      <c r="D113" s="138"/>
      <c r="E113" s="3093" t="s">
        <v>2307</v>
      </c>
      <c r="F113" s="3093"/>
      <c r="G113" s="3093"/>
      <c r="H113" s="3093"/>
      <c r="I113" s="138"/>
    </row>
    <row r="114" spans="1:11" ht="3.75" customHeight="1">
      <c r="A114" s="2421"/>
      <c r="B114" s="2421"/>
      <c r="C114" s="2421"/>
      <c r="D114" s="2421"/>
      <c r="E114" s="2499"/>
      <c r="F114" s="2499"/>
      <c r="G114" s="2499"/>
      <c r="H114" s="2499"/>
      <c r="I114" s="2421"/>
    </row>
    <row r="115" spans="1:11" ht="18.75" customHeight="1">
      <c r="A115" s="3106" t="s">
        <v>2309</v>
      </c>
      <c r="B115" s="3107"/>
      <c r="C115" s="3107"/>
      <c r="D115" s="3107"/>
      <c r="E115" s="3107"/>
      <c r="F115" s="3107"/>
      <c r="G115" s="3107"/>
      <c r="H115" s="3107"/>
      <c r="I115" s="3108"/>
    </row>
    <row r="116" spans="1:11" ht="27" customHeight="1">
      <c r="A116" s="3017" t="s">
        <v>2310</v>
      </c>
      <c r="B116" s="3060" t="s">
        <v>2311</v>
      </c>
      <c r="C116" s="3060" t="s">
        <v>2312</v>
      </c>
      <c r="D116" s="3066" t="s">
        <v>2313</v>
      </c>
      <c r="E116" s="3067"/>
      <c r="F116" s="3102" t="s">
        <v>2314</v>
      </c>
      <c r="G116" s="3102"/>
      <c r="H116" s="3017" t="s">
        <v>2315</v>
      </c>
      <c r="I116" s="3017"/>
    </row>
    <row r="117" spans="1:11" ht="18.75" customHeight="1">
      <c r="A117" s="3017"/>
      <c r="B117" s="3061"/>
      <c r="C117" s="3061"/>
      <c r="D117" s="1797" t="s">
        <v>2316</v>
      </c>
      <c r="E117" s="1797" t="s">
        <v>2317</v>
      </c>
      <c r="F117" s="1797" t="s">
        <v>2316</v>
      </c>
      <c r="G117" s="1797" t="s">
        <v>2318</v>
      </c>
      <c r="H117" s="1797" t="s">
        <v>2316</v>
      </c>
      <c r="I117" s="1797" t="s">
        <v>2318</v>
      </c>
    </row>
    <row r="118" spans="1:11" ht="24.75" customHeight="1">
      <c r="A118" s="2529" t="str">
        <f>项目基本情况!S2</f>
        <v>出让国有建设用地使用权及在建建筑物房地产</v>
      </c>
      <c r="B118" s="1797">
        <f>M18</f>
        <v>62915.380000000005</v>
      </c>
      <c r="C118" s="1797">
        <f>M19</f>
        <v>16031.32</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23136</v>
      </c>
      <c r="I118" s="1797">
        <f ca="1">ROUND(IF(D32="楼面单价",C32,H118*10000/B118),0)</f>
        <v>3677</v>
      </c>
    </row>
    <row r="119" spans="1:11" ht="18.75" customHeight="1">
      <c r="A119" s="3017" t="s">
        <v>2319</v>
      </c>
      <c r="B119" s="3017"/>
      <c r="C119" s="3017"/>
      <c r="D119" s="3062" t="e">
        <f ca="1">NUMBERSTRING(INT(D118*10000),2)&amp;"元整"</f>
        <v>#REF!</v>
      </c>
      <c r="E119" s="3063"/>
      <c r="F119" s="3062" t="e">
        <f ca="1">NUMBERSTRING(INT(F118*10000),2)&amp;"元整"</f>
        <v>#REF!</v>
      </c>
      <c r="G119" s="3063"/>
      <c r="H119" s="3062" t="str">
        <f ca="1">NUMBERSTRING(INT(H118*10000),2)&amp;"元整"</f>
        <v>贰亿叁仟壹佰叁拾陆万元整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6" t="str">
        <f>IF(D120=0,"故，本次评估不存在"&amp;A120,"故，本次评估"&amp;A120&amp;"为人民币"&amp;D120&amp;"万元整。")</f>
        <v>故，本次评估不存在估价师知悉的法定优先受偿款</v>
      </c>
    </row>
    <row r="121" spans="1:11" ht="18.75" customHeight="1">
      <c r="A121" s="3103" t="s">
        <v>2319</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23136</v>
      </c>
      <c r="E122" s="3058"/>
      <c r="F122" s="3058"/>
      <c r="G122" s="3058"/>
      <c r="H122" s="3058"/>
      <c r="I122" s="3059"/>
    </row>
    <row r="123" spans="1:11" ht="18.75" customHeight="1">
      <c r="A123" s="3017" t="s">
        <v>2319</v>
      </c>
      <c r="B123" s="3017"/>
      <c r="C123" s="3017"/>
      <c r="D123" s="3062" t="str">
        <f ca="1">NUMBERSTRING(INT(D122*10000),2)&amp;"元整"</f>
        <v>贰亿叁仟壹佰叁拾陆万元整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2319</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2319</v>
      </c>
      <c r="B127" s="3017"/>
      <c r="C127" s="3017"/>
      <c r="D127" s="3062" t="e">
        <f>NUMBERSTRING(INT(D126*10000),2)&amp;"元整"</f>
        <v>#VALUE!</v>
      </c>
      <c r="E127" s="3064"/>
      <c r="F127" s="3064"/>
      <c r="G127" s="3064"/>
      <c r="H127" s="3064"/>
      <c r="I127" s="3063"/>
    </row>
    <row r="128" spans="1:11" ht="21.75" customHeight="1">
      <c r="A128" s="3065" t="s">
        <v>2320</v>
      </c>
      <c r="B128" s="3065"/>
      <c r="C128" s="3065"/>
      <c r="D128" s="3065"/>
      <c r="E128" s="3065"/>
      <c r="F128" s="3065"/>
      <c r="G128" s="3065"/>
      <c r="H128" s="3065"/>
      <c r="I128" s="3065"/>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2323</v>
      </c>
      <c r="G135" s="2547"/>
      <c r="H135" s="2547"/>
      <c r="I135" s="2548" t="s">
        <v>2324</v>
      </c>
    </row>
    <row r="136" spans="1:35" ht="21.75" customHeight="1">
      <c r="A136" s="795"/>
      <c r="B136" s="2549"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2326</v>
      </c>
    </row>
    <row r="139" spans="1:35" ht="21.75" customHeight="1">
      <c r="A139" s="795"/>
      <c r="B139" s="2549" t="s">
        <v>2327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2326</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9"/>
      <c r="C1" s="242"/>
      <c r="D1" s="242"/>
      <c r="E1" s="242"/>
      <c r="F1" s="242"/>
      <c r="G1" s="1382">
        <f>MATCH(B1,'数据-取费表'!A6:A16,0)+5</f>
        <v>9</v>
      </c>
    </row>
    <row r="2" spans="1:9" s="244" customFormat="1" ht="18" customHeight="1">
      <c r="A2" s="245" t="s">
        <v>2329</v>
      </c>
      <c r="B2" s="246">
        <f ca="1">IF(D2="——",C52,C52-E2)</f>
        <v>23624</v>
      </c>
      <c r="C2" s="243" t="s">
        <v>2330</v>
      </c>
      <c r="D2" s="2552" t="s">
        <v>70</v>
      </c>
      <c r="E2" s="1443" t="e">
        <f ca="1">SUMIF(INDIRECT("'"&amp;G2&amp;"'"&amp;"!A:A"),"承租人权益价值",INDIRECT("'"&amp;G2&amp;"'"&amp;"!c:c"))</f>
        <v>#REF!</v>
      </c>
      <c r="F2" s="2553" t="s">
        <v>2330</v>
      </c>
      <c r="G2" s="2554"/>
    </row>
    <row r="3" spans="1:9" s="244" customFormat="1" ht="18" customHeight="1" thickBot="1">
      <c r="A3" s="247" t="s">
        <v>2331</v>
      </c>
      <c r="B3" s="248">
        <f ca="1">ROUND(B2*10000/(IF(B1="",'数据-汇总表'!E3,INDIRECT("'数据-取费表'!k"&amp;$G$1))),0)</f>
        <v>3755</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2638</v>
      </c>
      <c r="D5" s="255" t="s">
        <v>2336</v>
      </c>
      <c r="E5" s="256" t="s">
        <v>2337</v>
      </c>
      <c r="F5" s="256" t="s">
        <v>2338</v>
      </c>
      <c r="G5" s="257"/>
    </row>
    <row r="6" spans="1:9" s="258" customFormat="1" ht="13.5" customHeight="1">
      <c r="A6" s="952" t="s">
        <v>2339</v>
      </c>
      <c r="B6" s="259" t="s">
        <v>2340</v>
      </c>
      <c r="C6" s="260">
        <f>'土地比较法-住宅、综合'!B2</f>
        <v>2560</v>
      </c>
      <c r="D6" s="261"/>
      <c r="E6" s="262"/>
      <c r="F6" s="262"/>
      <c r="G6" s="263"/>
    </row>
    <row r="7" spans="1:9" s="258" customFormat="1" ht="13.5" customHeight="1">
      <c r="A7" s="952" t="s">
        <v>2341</v>
      </c>
      <c r="B7" s="259" t="s">
        <v>2342</v>
      </c>
      <c r="C7" s="264">
        <f>ROUND(C6*F7,0)</f>
        <v>78</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5" t="s">
        <v>3142</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100</v>
      </c>
      <c r="F9" s="265"/>
      <c r="G9" s="2556"/>
      <c r="H9" s="1393"/>
      <c r="I9" s="2557" t="s">
        <v>2346</v>
      </c>
    </row>
    <row r="10" spans="1:9" s="258" customFormat="1" ht="13.5" customHeight="1">
      <c r="A10" s="953" t="s">
        <v>801</v>
      </c>
      <c r="B10" s="268" t="s">
        <v>2347</v>
      </c>
      <c r="C10" s="269">
        <f ca="1">ROUND(D10*E10/10000,0)</f>
        <v>629</v>
      </c>
      <c r="D10" s="1035">
        <f ca="1">IF(B1="",'数据-汇总表'!E6,IF(INDIRECT("'数据-取费表'!c"&amp;$G$1)="住宅",INDIRECT("'数据-取费表'!s"&amp;$G$1),INDIRECT("'数据-取费表'!k"&amp;$G$1)+INDIRECT("'数据-取费表'!s"&amp;$G$1)))</f>
        <v>62915.380000000005</v>
      </c>
      <c r="E10" s="269">
        <f>'数据-取费表'!B28</f>
        <v>100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62915.380000000005</v>
      </c>
      <c r="E19" s="255">
        <f>'数据-取费表'!B31</f>
        <v>180</v>
      </c>
      <c r="F19" s="275"/>
      <c r="G19" s="2555" t="s">
        <v>3143</v>
      </c>
    </row>
    <row r="20" spans="1:7" s="258" customFormat="1" ht="13.5" customHeight="1">
      <c r="A20" s="299" t="s">
        <v>2360</v>
      </c>
      <c r="B20" s="254" t="s">
        <v>2361</v>
      </c>
      <c r="C20" s="276">
        <f>ROUND((C5+C19)*F20,0)</f>
        <v>53</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232</v>
      </c>
      <c r="D22" s="279">
        <f ca="1">C26</f>
        <v>8.9999999999999998E-4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230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8.9999999999999998E-4</v>
      </c>
      <c r="D26" s="282"/>
      <c r="E26" s="285"/>
      <c r="F26" s="283"/>
      <c r="G26" s="287"/>
    </row>
    <row r="27" spans="1:7" s="258" customFormat="1" ht="24.75">
      <c r="A27" s="299" t="s">
        <v>2379</v>
      </c>
      <c r="B27" s="288" t="s">
        <v>2380</v>
      </c>
      <c r="C27" s="289">
        <f ca="1">C28</f>
        <v>218</v>
      </c>
      <c r="D27" s="279">
        <f ca="1">C29</f>
        <v>1.6000000000000001E-3</v>
      </c>
      <c r="E27" s="280" t="s">
        <v>2381</v>
      </c>
      <c r="F27" s="290">
        <f ca="1">IF(B1="",'数据-取费表'!Q16,INDIRECT("'数据-取费表'!q"&amp;$G$1))</f>
        <v>0.09</v>
      </c>
      <c r="G27" s="291" t="s">
        <v>2382</v>
      </c>
    </row>
    <row r="28" spans="1:7" s="258" customFormat="1" ht="13.5" customHeight="1">
      <c r="A28" s="954" t="s">
        <v>791</v>
      </c>
      <c r="B28" s="292" t="s">
        <v>2383</v>
      </c>
      <c r="C28" s="293">
        <f ca="1">ROUND((C5+C19+C20)*F27*'数据-取费表'!B21/'数据-取费表'!B20,0)</f>
        <v>218</v>
      </c>
      <c r="D28" s="279"/>
      <c r="E28" s="280"/>
      <c r="F28" s="290"/>
      <c r="G28" s="291"/>
    </row>
    <row r="29" spans="1:7" s="258" customFormat="1" ht="13.5" customHeight="1">
      <c r="A29" s="954" t="s">
        <v>792</v>
      </c>
      <c r="B29" s="292" t="s">
        <v>2384</v>
      </c>
      <c r="C29" s="282">
        <f ca="1">ROUND(C21*F27*'数据-取费表'!B21/'数据-取费表'!B20,4)</f>
        <v>1.6000000000000001E-3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3399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16175</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14377</v>
      </c>
      <c r="D34" s="261"/>
      <c r="E34" s="264"/>
      <c r="F34" s="301">
        <f ca="1">IF('数据-取费表'!B24=0,1,IF(B1="",'数据-取费表'!N16,INDIRECT("'数据-取费表'!n"&amp;$G$1)))</f>
        <v>0.8</v>
      </c>
      <c r="G34" s="263" t="s">
        <v>2393</v>
      </c>
    </row>
    <row r="35" spans="1:7" ht="13.5" customHeight="1">
      <c r="A35" s="954" t="s">
        <v>796</v>
      </c>
      <c r="B35" s="259" t="s">
        <v>2394</v>
      </c>
      <c r="C35" s="264">
        <f ca="1">ROUND(C34*F35,0)</f>
        <v>575</v>
      </c>
      <c r="D35" s="264"/>
      <c r="E35" s="264"/>
      <c r="F35" s="303">
        <f>'数据-取费表'!B33</f>
        <v>0.04</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1007</v>
      </c>
      <c r="D37" s="261">
        <f ca="1">D19</f>
        <v>62915.380000000005</v>
      </c>
      <c r="E37" s="293">
        <f>'数据-取费表'!B35</f>
        <v>200</v>
      </c>
      <c r="F37" s="303"/>
      <c r="G37" s="305" t="s">
        <v>2399</v>
      </c>
    </row>
    <row r="38" spans="1:7" ht="13.5" customHeight="1">
      <c r="A38" s="954" t="s">
        <v>799</v>
      </c>
      <c r="B38" s="259" t="s">
        <v>2400</v>
      </c>
      <c r="C38" s="264">
        <f ca="1">ROUND(C34*F38,0)</f>
        <v>216</v>
      </c>
      <c r="D38" s="264"/>
      <c r="E38" s="264"/>
      <c r="F38" s="303">
        <f>'数据-取费表'!B36</f>
        <v>1.4999999999999999E-2</v>
      </c>
      <c r="G38" s="263" t="s">
        <v>2395</v>
      </c>
    </row>
    <row r="39" spans="1:7" s="258" customFormat="1" ht="13.5" customHeight="1">
      <c r="A39" s="299" t="s">
        <v>2401</v>
      </c>
      <c r="B39" s="254" t="s">
        <v>2402</v>
      </c>
      <c r="C39" s="276">
        <f ca="1">ROUND(C33*F20,0)</f>
        <v>324</v>
      </c>
      <c r="D39" s="276"/>
      <c r="E39" s="276"/>
      <c r="F39" s="277"/>
      <c r="G39" s="278" t="s">
        <v>2403</v>
      </c>
    </row>
    <row r="40" spans="1:7" s="258" customFormat="1" ht="13.5" customHeight="1">
      <c r="A40" s="299" t="s">
        <v>2404</v>
      </c>
      <c r="B40" s="254" t="s">
        <v>2405</v>
      </c>
      <c r="C40" s="1730">
        <f>F21</f>
        <v>0.02</v>
      </c>
      <c r="D40" s="280" t="s">
        <v>2406</v>
      </c>
      <c r="E40" s="276"/>
      <c r="F40" s="277"/>
      <c r="G40" s="278" t="s">
        <v>2407</v>
      </c>
    </row>
    <row r="41" spans="1:7" s="258" customFormat="1" ht="13.5" customHeight="1">
      <c r="A41" s="299" t="s">
        <v>2408</v>
      </c>
      <c r="B41" s="254" t="s">
        <v>2409</v>
      </c>
      <c r="C41" s="276">
        <f ca="1">ROUND(SUM(C42:C43),0)</f>
        <v>704</v>
      </c>
      <c r="D41" s="279">
        <f ca="1">C44</f>
        <v>8.9999999999999998E-4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690</v>
      </c>
      <c r="D42" s="282"/>
      <c r="E42" s="282"/>
      <c r="F42" s="283"/>
      <c r="G42" s="3137" t="s">
        <v>2411</v>
      </c>
    </row>
    <row r="43" spans="1:7" ht="13.5" customHeight="1">
      <c r="A43" s="954" t="s">
        <v>792</v>
      </c>
      <c r="B43" s="259" t="s">
        <v>2412</v>
      </c>
      <c r="C43" s="282">
        <f ca="1">ROUND(IF('数据-取费表'!B22&lt;=1,C39*F22*'数据-取费表'!B21/2,C39*(POWER((1+F22),'数据-取费表'!B21/2)-1)),0)</f>
        <v>14</v>
      </c>
      <c r="D43" s="282"/>
      <c r="E43" s="282"/>
      <c r="F43" s="283"/>
      <c r="G43" s="3138"/>
    </row>
    <row r="44" spans="1:7" ht="13.5" customHeight="1">
      <c r="A44" s="954" t="s">
        <v>793</v>
      </c>
      <c r="B44" s="259" t="s">
        <v>2413</v>
      </c>
      <c r="C44" s="282">
        <f ca="1">ROUND(IF('数据-取费表'!B22&lt;=1,C40*F22*'数据-取费表'!B21/2,C40*(POWER((1+F22),'数据-取费表'!B21/2)-1)),4)</f>
        <v>8.9999999999999998E-4</v>
      </c>
      <c r="D44" s="282"/>
      <c r="E44" s="282"/>
      <c r="F44" s="283"/>
      <c r="G44" s="3139"/>
    </row>
    <row r="45" spans="1:7" s="258" customFormat="1" ht="13.5" customHeight="1">
      <c r="A45" s="299" t="s">
        <v>2414</v>
      </c>
      <c r="B45" s="288" t="s">
        <v>2380</v>
      </c>
      <c r="C45" s="289">
        <f ca="1">C46</f>
        <v>1485</v>
      </c>
      <c r="D45" s="279">
        <f ca="1">C47</f>
        <v>1.8E-3</v>
      </c>
      <c r="E45" s="280" t="s">
        <v>2406</v>
      </c>
      <c r="F45" s="290"/>
      <c r="G45" s="291" t="s">
        <v>2415</v>
      </c>
    </row>
    <row r="46" spans="1:7" s="258" customFormat="1" ht="13.5" customHeight="1">
      <c r="A46" s="954" t="s">
        <v>791</v>
      </c>
      <c r="B46" s="292" t="s">
        <v>2416</v>
      </c>
      <c r="C46" s="293">
        <f ca="1">ROUND((C33+C39)*F27,0)</f>
        <v>1485</v>
      </c>
      <c r="D46" s="307"/>
      <c r="E46" s="280"/>
      <c r="F46" s="290"/>
      <c r="G46" s="291"/>
    </row>
    <row r="47" spans="1:7" s="258" customFormat="1" ht="13.5" customHeight="1">
      <c r="A47" s="954" t="s">
        <v>792</v>
      </c>
      <c r="B47" s="292" t="s">
        <v>2417</v>
      </c>
      <c r="C47" s="282">
        <f ca="1">ROUND(C40*F27,4)</f>
        <v>1.8E-3</v>
      </c>
      <c r="D47" s="307"/>
      <c r="E47" s="280"/>
      <c r="F47" s="290"/>
      <c r="G47" s="291"/>
    </row>
    <row r="48" spans="1:7" s="258" customFormat="1" ht="13.5" customHeight="1">
      <c r="A48" s="299" t="s">
        <v>2379</v>
      </c>
      <c r="B48" s="254" t="s">
        <v>2418</v>
      </c>
      <c r="C48" s="1730">
        <f>ROUND(F30/(1+'数据-取费表'!C42),4)</f>
        <v>5.33E-2</v>
      </c>
      <c r="D48" s="280" t="s">
        <v>2406</v>
      </c>
      <c r="E48" s="276"/>
      <c r="F48" s="281"/>
      <c r="G48" s="278" t="s">
        <v>2419</v>
      </c>
    </row>
    <row r="49" spans="1:7" ht="16.5" customHeight="1">
      <c r="A49" s="299" t="s">
        <v>2385</v>
      </c>
      <c r="B49" s="254" t="s">
        <v>2420</v>
      </c>
      <c r="C49" s="276">
        <f ca="1">ROUND((C33+C39+C41+C45)/(1-C40-D41-D45-C48),0)</f>
        <v>20225</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20225</v>
      </c>
      <c r="D51" s="276"/>
      <c r="E51" s="276"/>
      <c r="F51" s="308"/>
      <c r="G51" s="278" t="s">
        <v>2427</v>
      </c>
    </row>
    <row r="52" spans="1:7" s="252" customFormat="1" ht="16.5" thickBot="1">
      <c r="A52" s="309" t="s">
        <v>2428</v>
      </c>
      <c r="B52" s="310"/>
      <c r="C52" s="311">
        <f ca="1">C31+C51</f>
        <v>23624</v>
      </c>
      <c r="D52" s="310"/>
      <c r="E52" s="310"/>
      <c r="F52" s="310"/>
      <c r="G52" s="312"/>
    </row>
    <row r="55" spans="1:7" ht="15">
      <c r="B55" s="314" t="s">
        <v>2429</v>
      </c>
      <c r="C55" s="315"/>
    </row>
    <row r="56" spans="1:7">
      <c r="B56" s="317" t="s">
        <v>1509</v>
      </c>
      <c r="C56" s="319">
        <f ca="1">1-C57</f>
        <v>0.14400000000000002</v>
      </c>
    </row>
    <row r="57" spans="1:7">
      <c r="B57" s="317" t="s">
        <v>1510</v>
      </c>
      <c r="C57" s="318">
        <f ca="1">ROUND(C51/C52,3)</f>
        <v>0.85599999999999998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出让国有建设用地使用权及在建建筑物预评估</v>
      </c>
      <c r="C37" s="2951"/>
      <c r="D37" s="2951"/>
      <c r="E37" s="2951"/>
      <c r="F37" s="2951"/>
      <c r="G37" s="2951"/>
      <c r="H37" s="2951"/>
      <c r="I37" s="2951"/>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9"/>
      <c r="C1" s="2558" t="s">
        <v>2430</v>
      </c>
      <c r="D1" s="242"/>
      <c r="E1" s="242"/>
      <c r="F1" s="242"/>
      <c r="G1" s="1382">
        <f>MATCH(B1,'数据-取费表'!A6:A16,0)+5</f>
        <v>9</v>
      </c>
      <c r="H1" s="1285" t="str">
        <f>IF(ISERROR(FIND("住宅",B1)),"非住宅","住宅")</f>
        <v>非住宅</v>
      </c>
    </row>
    <row r="2" spans="1:8" s="244" customFormat="1" ht="18" customHeight="1">
      <c r="A2" s="245" t="s">
        <v>2329</v>
      </c>
      <c r="B2" s="246">
        <f ca="1">ROUND(IF(D2="——",C52/10000,C52/10000-E2),0)</f>
        <v>27697</v>
      </c>
      <c r="C2" s="243" t="s">
        <v>2330</v>
      </c>
      <c r="D2" s="2552" t="s">
        <v>70</v>
      </c>
      <c r="E2" s="1443" t="e">
        <f ca="1">SUMIF(INDIRECT("'"&amp;G2&amp;"'"&amp;"!A:A"),"承租人权益价值",INDIRECT("'"&amp;G2&amp;"'"&amp;"!c:c"))</f>
        <v>#REF!</v>
      </c>
      <c r="F2" s="2553" t="s">
        <v>2330</v>
      </c>
      <c r="G2" s="2554"/>
    </row>
    <row r="3" spans="1:8" s="244" customFormat="1" ht="18" customHeight="1" thickBot="1">
      <c r="A3" s="247" t="s">
        <v>2331</v>
      </c>
      <c r="B3" s="248">
        <f ca="1">ROUND(B2*10000/(IF(B1="",'数据-汇总表'!E3,INDIRECT("'数据-取费表'!k"&amp;$G$1))),0)</f>
        <v>4402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6291538</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6291538</v>
      </c>
      <c r="D8" s="266"/>
      <c r="E8" s="264"/>
      <c r="F8" s="265"/>
      <c r="G8" s="2555"/>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100</v>
      </c>
      <c r="F9" s="265"/>
      <c r="G9" s="270"/>
    </row>
    <row r="10" spans="1:8" s="258" customFormat="1" ht="13.5" customHeight="1">
      <c r="A10" s="953" t="s">
        <v>801</v>
      </c>
      <c r="B10" s="268" t="s">
        <v>2347</v>
      </c>
      <c r="C10" s="269">
        <f ca="1">ROUND(D10*E10,0)</f>
        <v>6291538</v>
      </c>
      <c r="D10" s="1035">
        <f ca="1">IF(B1="",'数据-汇总表'!E6,IF(INDIRECT("'数据-取费表'!c"&amp;$G$1)="住宅",INDIRECT("'数据-取费表'!s"&amp;$G$1),INDIRECT("'数据-取费表'!k"&amp;$G$1)+INDIRECT("'数据-取费表'!s"&amp;$G$1)))</f>
        <v>62915.380000000005</v>
      </c>
      <c r="E10" s="269">
        <f>'数据-取费表'!B28</f>
        <v>100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11324768</v>
      </c>
      <c r="D19" s="1039">
        <f ca="1">D9+D10</f>
        <v>62915.380000000005</v>
      </c>
      <c r="E19" s="255">
        <f>'数据-取费表'!B31</f>
        <v>180</v>
      </c>
      <c r="F19" s="275"/>
      <c r="G19" s="2555"/>
    </row>
    <row r="20" spans="1:7" s="258" customFormat="1" ht="13.5" customHeight="1">
      <c r="A20" s="299" t="s">
        <v>2441</v>
      </c>
      <c r="B20" s="254" t="s">
        <v>2442</v>
      </c>
      <c r="C20" s="276">
        <f ca="1">ROUND((C5+C19)*F20,0)</f>
        <v>352326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1730030</v>
      </c>
      <c r="D22" s="279">
        <f ca="1">C26</f>
        <v>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611891</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1101404</v>
      </c>
      <c r="D24" s="282"/>
      <c r="E24" s="282"/>
      <c r="F24" s="283"/>
      <c r="G24" s="284" t="s">
        <v>2453</v>
      </c>
    </row>
    <row r="25" spans="1:7" s="258" customFormat="1" ht="24">
      <c r="A25" s="954" t="s">
        <v>2343</v>
      </c>
      <c r="B25" s="259" t="s">
        <v>2454</v>
      </c>
      <c r="C25" s="1384">
        <f ca="1">ROUND(IF('数据-取费表'!B22&lt;=1,C20*F22*'数据-取费表'!B22/2,C20*(POWER((1+F22),'数据-取费表'!B22/2)-1)),0)</f>
        <v>16735</v>
      </c>
      <c r="D25" s="282"/>
      <c r="E25" s="285"/>
      <c r="F25" s="283"/>
      <c r="G25" s="286" t="s">
        <v>2455</v>
      </c>
    </row>
    <row r="26" spans="1:7" s="258" customFormat="1">
      <c r="A26" s="954"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1617177</v>
      </c>
      <c r="D27" s="279">
        <f ca="1">C29</f>
        <v>1.8E-3</v>
      </c>
      <c r="E27" s="280" t="s">
        <v>2381</v>
      </c>
      <c r="F27" s="290">
        <f ca="1">IF(B1="",'数据-取费表'!Q16,INDIRECT("'数据-取费表'!q"&amp;$G$1))</f>
        <v>0.09</v>
      </c>
      <c r="G27" s="291" t="s">
        <v>2382</v>
      </c>
    </row>
    <row r="28" spans="1:7" s="258" customFormat="1" ht="13.5" customHeight="1">
      <c r="A28" s="954" t="s">
        <v>791</v>
      </c>
      <c r="B28" s="292" t="s">
        <v>2383</v>
      </c>
      <c r="C28" s="293">
        <f ca="1">ROUND((C5+C19+C20)*F27,0)</f>
        <v>1617177</v>
      </c>
      <c r="D28" s="279"/>
      <c r="E28" s="280"/>
      <c r="F28" s="290"/>
      <c r="G28" s="291"/>
    </row>
    <row r="29" spans="1:7" s="258" customFormat="1" ht="13.5" customHeight="1">
      <c r="A29" s="954" t="s">
        <v>792</v>
      </c>
      <c r="B29" s="292" t="s">
        <v>2384</v>
      </c>
      <c r="C29" s="282">
        <f ca="1">ROUND(C21*F27,4)</f>
        <v>1.8E-3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23071587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202173969</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179707008</v>
      </c>
      <c r="D34" s="261"/>
      <c r="E34" s="264"/>
      <c r="F34" s="301"/>
      <c r="G34" s="263"/>
    </row>
    <row r="35" spans="1:7" ht="13.5" customHeight="1">
      <c r="A35" s="954" t="s">
        <v>796</v>
      </c>
      <c r="B35" s="259" t="s">
        <v>2394</v>
      </c>
      <c r="C35" s="264">
        <f ca="1">ROUND(C34*F35,0)</f>
        <v>7188280</v>
      </c>
      <c r="D35" s="264"/>
      <c r="E35" s="264"/>
      <c r="F35" s="303">
        <f>'数据-取费表'!B33</f>
        <v>0.04</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12583076</v>
      </c>
      <c r="D37" s="261">
        <f ca="1">D19</f>
        <v>62915.380000000005</v>
      </c>
      <c r="E37" s="293">
        <f>'数据-取费表'!B35</f>
        <v>200</v>
      </c>
      <c r="F37" s="303"/>
      <c r="G37" s="305"/>
    </row>
    <row r="38" spans="1:7" ht="13.5" customHeight="1">
      <c r="A38" s="954" t="s">
        <v>799</v>
      </c>
      <c r="B38" s="259" t="s">
        <v>2400</v>
      </c>
      <c r="C38" s="264">
        <f ca="1">ROUND(C34*F38,0)</f>
        <v>2695605</v>
      </c>
      <c r="D38" s="264"/>
      <c r="E38" s="264"/>
      <c r="F38" s="303">
        <f>'数据-取费表'!B36</f>
        <v>1.4999999999999999E-2</v>
      </c>
      <c r="G38" s="263" t="s">
        <v>2395</v>
      </c>
    </row>
    <row r="39" spans="1:7" s="258" customFormat="1" ht="13.5" customHeight="1">
      <c r="A39" s="299" t="s">
        <v>2401</v>
      </c>
      <c r="B39" s="254" t="s">
        <v>2402</v>
      </c>
      <c r="C39" s="276">
        <f ca="1">ROUND(C33*F20,0)</f>
        <v>4043479</v>
      </c>
      <c r="D39" s="276"/>
      <c r="E39" s="276"/>
      <c r="F39" s="277"/>
      <c r="G39" s="278" t="s">
        <v>2403</v>
      </c>
    </row>
    <row r="40" spans="1:7" s="258" customFormat="1" ht="13.5" customHeight="1">
      <c r="A40" s="299" t="s">
        <v>2404</v>
      </c>
      <c r="B40" s="254" t="s">
        <v>2405</v>
      </c>
      <c r="C40" s="1730">
        <f>F21</f>
        <v>0.02</v>
      </c>
      <c r="D40" s="280" t="s">
        <v>2406</v>
      </c>
      <c r="E40" s="276"/>
      <c r="F40" s="277"/>
      <c r="G40" s="278" t="s">
        <v>2407</v>
      </c>
    </row>
    <row r="41" spans="1:7" s="258" customFormat="1" ht="13.5" customHeight="1">
      <c r="A41" s="299" t="s">
        <v>2408</v>
      </c>
      <c r="B41" s="254" t="s">
        <v>2409</v>
      </c>
      <c r="C41" s="276">
        <f ca="1">ROUND(SUM(C42:C43),0)</f>
        <v>9795329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9603264</v>
      </c>
      <c r="D42" s="282"/>
      <c r="E42" s="282"/>
      <c r="F42" s="283"/>
      <c r="G42" s="3137" t="s">
        <v>2458</v>
      </c>
    </row>
    <row r="43" spans="1:7" ht="13.5" customHeight="1">
      <c r="A43" s="954" t="s">
        <v>792</v>
      </c>
      <c r="B43" s="259" t="s">
        <v>2412</v>
      </c>
      <c r="C43" s="282">
        <f ca="1">ROUND(IF('数据-取费表'!B22&lt;=1,C39*F22*'数据-取费表'!B20/2,C39*(POWER((1+F22),'数据-取费表'!B20/2)-1)),0)</f>
        <v>192065</v>
      </c>
      <c r="D43" s="282"/>
      <c r="E43" s="282"/>
      <c r="F43" s="283"/>
      <c r="G43" s="3138"/>
    </row>
    <row r="44" spans="1:7" ht="13.5" customHeight="1">
      <c r="A44" s="954" t="s">
        <v>793</v>
      </c>
      <c r="B44" s="259" t="s">
        <v>2413</v>
      </c>
      <c r="C44" s="282">
        <f ca="1">ROUND(IF('数据-取费表'!B22&lt;=1,C40*F22*'数据-取费表'!B20/2,C40*(POWER((1+F22),'数据-取费表'!B20/2)-1)),4)</f>
        <v>1E-3</v>
      </c>
      <c r="D44" s="282"/>
      <c r="E44" s="282"/>
      <c r="F44" s="283"/>
      <c r="G44" s="3139"/>
    </row>
    <row r="45" spans="1:7" s="258" customFormat="1" ht="13.5" customHeight="1">
      <c r="A45" s="299" t="s">
        <v>2414</v>
      </c>
      <c r="B45" s="288" t="s">
        <v>2380</v>
      </c>
      <c r="C45" s="289">
        <f ca="1">C46</f>
        <v>18559570</v>
      </c>
      <c r="D45" s="279">
        <f ca="1">C47</f>
        <v>1.8E-3</v>
      </c>
      <c r="E45" s="280" t="s">
        <v>2406</v>
      </c>
      <c r="F45" s="290"/>
      <c r="G45" s="291" t="s">
        <v>2415</v>
      </c>
    </row>
    <row r="46" spans="1:7" s="258" customFormat="1" ht="13.5" customHeight="1">
      <c r="A46" s="954" t="s">
        <v>791</v>
      </c>
      <c r="B46" s="292" t="s">
        <v>2416</v>
      </c>
      <c r="C46" s="293">
        <f ca="1">ROUND((C33+C39)*F27,0)</f>
        <v>18559570</v>
      </c>
      <c r="D46" s="307"/>
      <c r="E46" s="280"/>
      <c r="F46" s="290"/>
      <c r="G46" s="291"/>
    </row>
    <row r="47" spans="1:7" s="258" customFormat="1" ht="13.5" customHeight="1">
      <c r="A47" s="954" t="s">
        <v>792</v>
      </c>
      <c r="B47" s="292" t="s">
        <v>2417</v>
      </c>
      <c r="C47" s="282">
        <f ca="1">ROUND(C40*F27,4)</f>
        <v>1.8E-3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253893654</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253893654</v>
      </c>
      <c r="D51" s="276"/>
      <c r="E51" s="276"/>
      <c r="F51" s="308"/>
      <c r="G51" s="278" t="s">
        <v>2427</v>
      </c>
    </row>
    <row r="52" spans="1:7" s="252" customFormat="1" ht="16.5" thickBot="1">
      <c r="A52" s="309" t="s">
        <v>2428</v>
      </c>
      <c r="B52" s="310"/>
      <c r="C52" s="311">
        <f ca="1">C31+C51</f>
        <v>276965241</v>
      </c>
      <c r="D52" s="310"/>
      <c r="E52" s="310"/>
      <c r="F52" s="310"/>
      <c r="G52" s="312"/>
    </row>
    <row r="55" spans="1:7" ht="15">
      <c r="B55" s="314" t="s">
        <v>2429</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3"/>
      <c r="C1" s="1584"/>
      <c r="D1" s="1582"/>
      <c r="E1" s="320"/>
      <c r="F1" s="320"/>
      <c r="G1" s="1583"/>
      <c r="H1" s="320"/>
      <c r="I1" s="320"/>
      <c r="J1" s="320"/>
      <c r="K1" s="320">
        <f>MATCH(C1,'数据-取费表'!A6:A16,0)+5</f>
        <v>9</v>
      </c>
    </row>
    <row r="2" spans="1:33" ht="18" customHeight="1">
      <c r="A2" s="245" t="s">
        <v>2329</v>
      </c>
      <c r="B2" s="248">
        <f ca="1">C32</f>
        <v>22647</v>
      </c>
      <c r="C2" s="320" t="s">
        <v>2462</v>
      </c>
      <c r="D2" s="320"/>
      <c r="E2" s="320"/>
      <c r="F2" s="320"/>
      <c r="G2" s="320"/>
      <c r="H2" s="320"/>
      <c r="I2" s="320"/>
      <c r="J2" s="320"/>
      <c r="K2" s="320"/>
    </row>
    <row r="3" spans="1:33" ht="18" customHeight="1" thickBot="1">
      <c r="A3" s="247" t="s">
        <v>2331</v>
      </c>
      <c r="B3" s="248">
        <f ca="1">ROUND(B2*10000/IF(C1="",'数据-汇总表'!E3,INDIRECT("'数据-取费表'!K"&amp;$K$1)),0)</f>
        <v>3600</v>
      </c>
      <c r="C3" s="320" t="s">
        <v>2463</v>
      </c>
      <c r="D3" s="320"/>
      <c r="E3" s="320"/>
      <c r="F3" s="320"/>
      <c r="G3" s="320"/>
      <c r="H3" s="320"/>
      <c r="I3" s="320"/>
      <c r="J3" s="320"/>
      <c r="K3" s="320"/>
    </row>
    <row r="4" spans="1:33" s="959" customFormat="1" ht="16.5" customHeight="1">
      <c r="A4" s="956" t="s">
        <v>2464</v>
      </c>
      <c r="B4" s="957"/>
      <c r="C4" s="999">
        <f>SUM(C8:K8)</f>
        <v>30871</v>
      </c>
      <c r="D4" s="957"/>
      <c r="E4" s="957"/>
      <c r="F4" s="957"/>
      <c r="G4" s="957"/>
      <c r="H4" s="957"/>
      <c r="I4" s="957"/>
      <c r="J4" s="957"/>
      <c r="K4" s="958"/>
    </row>
    <row r="5" spans="1:33" s="963" customFormat="1" ht="15">
      <c r="A5" s="960" t="s">
        <v>2465</v>
      </c>
      <c r="B5" s="961" t="s">
        <v>2466</v>
      </c>
      <c r="C5" s="2559" t="s">
        <v>1373</v>
      </c>
      <c r="D5" s="2559" t="s">
        <v>27</v>
      </c>
      <c r="E5" s="2559" t="s">
        <v>48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v>6500</v>
      </c>
      <c r="D6" s="965">
        <v>5100</v>
      </c>
      <c r="E6" s="965">
        <v>3000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14649.77</v>
      </c>
      <c r="D7" s="321">
        <f>SUMIF('数据-汇总表'!$C19:$C33,假设开发法!D5,'数据-汇总表'!$E19:$E33)</f>
        <v>33200.39</v>
      </c>
      <c r="E7" s="321">
        <f>SUMIF('数据-汇总表'!$C19:$C33,假设开发法!E5,'数据-汇总表'!$E19:$E33)</f>
        <v>14723.029999999999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f>ROUND(C6*C7/10000,0)</f>
        <v>9522</v>
      </c>
      <c r="D8" s="1000">
        <f t="shared" ref="D8:E8" si="0">ROUND(D6*D7/10000,0)</f>
        <v>16932</v>
      </c>
      <c r="E8" s="1000">
        <f t="shared" si="0"/>
        <v>4417</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3594</v>
      </c>
      <c r="D11" s="976"/>
      <c r="E11" s="375"/>
      <c r="F11" s="977">
        <f ca="1">1-IF('数据-取费表'!B24=0,1,IF(C1="",'数据-取费表'!N16,INDIRECT("'数据-取费表'!n"&amp;$K$1)))</f>
        <v>0.19999999999999996</v>
      </c>
      <c r="G11" s="8"/>
      <c r="H11" s="971"/>
      <c r="I11" s="971"/>
      <c r="J11" s="971"/>
      <c r="K11" s="972"/>
    </row>
    <row r="12" spans="1:33" s="978" customFormat="1" ht="13.5" customHeight="1">
      <c r="A12" s="974" t="s">
        <v>1331</v>
      </c>
      <c r="B12" s="975" t="s">
        <v>2480</v>
      </c>
      <c r="C12" s="24">
        <f ca="1">ROUND(C11*F12,0)</f>
        <v>144</v>
      </c>
      <c r="D12" s="976"/>
      <c r="E12" s="375"/>
      <c r="F12" s="979">
        <f>'数据-取费表'!B33</f>
        <v>0.04</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252</v>
      </c>
      <c r="D14" s="1036">
        <f ca="1">IF(C1="",'数据-汇总表'!E3,INDIRECT("'数据-取费表'!K"&amp;$K$1)+INDIRECT("'数据-取费表'!S"&amp;$K$1))</f>
        <v>62915.380000000005</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54</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4044</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126</v>
      </c>
      <c r="D17" s="1036">
        <f ca="1">D14</f>
        <v>62915.380000000005</v>
      </c>
      <c r="E17" s="24">
        <f>'数据-取费表'!B32</f>
        <v>20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629</v>
      </c>
      <c r="D18" s="1036"/>
      <c r="E18" s="24"/>
      <c r="F18" s="979"/>
      <c r="G18" s="2561"/>
      <c r="H18" s="1579"/>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100</v>
      </c>
      <c r="F19" s="979"/>
      <c r="G19" s="15"/>
      <c r="H19" s="1581"/>
      <c r="I19" s="984"/>
      <c r="J19" s="984"/>
      <c r="K19" s="985"/>
    </row>
    <row r="20" spans="1:33" s="978" customFormat="1" ht="13.5" customHeight="1">
      <c r="A20" s="974" t="s">
        <v>806</v>
      </c>
      <c r="B20" s="975" t="s">
        <v>2494</v>
      </c>
      <c r="C20" s="24">
        <f ca="1">ROUND(D20*E20/10000,0)</f>
        <v>629</v>
      </c>
      <c r="D20" s="1036">
        <f ca="1">IF(C1="",'数据-汇总表'!E6,IF(INDIRECT("'数据-取费表'!c"&amp;$K$1)="住宅",INDIRECT("'数据-取费表'!s"&amp;$K$1),INDIRECT("'数据-取费表'!k"&amp;$K$1)+INDIRECT("'数据-取费表'!s"&amp;$K$1)))</f>
        <v>62915.380000000005</v>
      </c>
      <c r="E20" s="24">
        <f>'数据-取费表'!B28</f>
        <v>100</v>
      </c>
      <c r="F20" s="979"/>
      <c r="G20" s="15"/>
      <c r="H20" s="984"/>
      <c r="I20" s="984"/>
      <c r="J20" s="984"/>
      <c r="K20" s="985"/>
    </row>
    <row r="21" spans="1:33" s="978" customFormat="1" ht="13.5" customHeight="1">
      <c r="A21" s="964" t="s">
        <v>802</v>
      </c>
      <c r="B21" s="988" t="s">
        <v>2495</v>
      </c>
      <c r="C21" s="989">
        <f ca="1">C16+C17+C18</f>
        <v>4799</v>
      </c>
      <c r="D21" s="990"/>
      <c r="E21" s="325"/>
      <c r="F21" s="325"/>
      <c r="G21" s="140" t="s">
        <v>2496</v>
      </c>
      <c r="H21" s="982"/>
      <c r="I21" s="982"/>
      <c r="J21" s="982"/>
      <c r="K21" s="983"/>
    </row>
    <row r="22" spans="1:33" s="978" customFormat="1" ht="13.5" customHeight="1">
      <c r="A22" s="964" t="s">
        <v>2468</v>
      </c>
      <c r="B22" s="988" t="s">
        <v>2497</v>
      </c>
      <c r="C22" s="989">
        <f ca="1">ROUND(C21*F22,0)</f>
        <v>96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123</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23</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9.5999999999999992E-3</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23</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452</v>
      </c>
      <c r="D28" s="324">
        <f ca="1">C29</f>
        <v>9.2999999999999992E-3</v>
      </c>
      <c r="E28" s="326" t="s">
        <v>15</v>
      </c>
      <c r="F28" s="332">
        <f ca="1">IF(C1="",'数据-取费表'!Q16,INDIRECT("'数据-取费表'!q"&amp;$K$1))</f>
        <v>0.09</v>
      </c>
      <c r="G28" s="992"/>
      <c r="H28" s="993"/>
      <c r="I28" s="993"/>
      <c r="J28" s="993"/>
      <c r="K28" s="994"/>
    </row>
    <row r="29" spans="1:33" s="335" customFormat="1" ht="13.5" customHeight="1">
      <c r="A29" s="974" t="s">
        <v>803</v>
      </c>
      <c r="B29" s="997" t="s">
        <v>2510</v>
      </c>
      <c r="C29" s="328">
        <f ca="1">ROUND((1+C24)*F28*'数据-取费表'!B24/'数据-取费表'!B20,4)</f>
        <v>9.2999999999999992E-3</v>
      </c>
      <c r="D29" s="328"/>
      <c r="E29" s="329"/>
      <c r="F29" s="334"/>
      <c r="G29" s="140" t="s">
        <v>2511</v>
      </c>
      <c r="H29" s="982"/>
      <c r="I29" s="982"/>
      <c r="J29" s="982"/>
      <c r="K29" s="983"/>
    </row>
    <row r="30" spans="1:33" s="335" customFormat="1" ht="13.5" customHeight="1">
      <c r="A30" s="974" t="s">
        <v>804</v>
      </c>
      <c r="B30" s="997" t="s">
        <v>2512</v>
      </c>
      <c r="C30" s="336">
        <f ca="1">ROUND((C21+C22+C23)*F28,0)</f>
        <v>452</v>
      </c>
      <c r="D30" s="328"/>
      <c r="E30" s="329"/>
      <c r="F30" s="334"/>
      <c r="G30" s="140"/>
      <c r="H30" s="982"/>
      <c r="I30" s="982"/>
      <c r="J30" s="982"/>
      <c r="K30" s="983"/>
    </row>
    <row r="31" spans="1:33" s="978" customFormat="1" ht="13.5" customHeight="1" thickBot="1">
      <c r="A31" s="2565" t="s">
        <v>2513</v>
      </c>
      <c r="B31" s="1008" t="s">
        <v>2514</v>
      </c>
      <c r="C31" s="1009">
        <f>ROUND(C4*F31/(1+'数据-取费表'!C42),0)</f>
        <v>1646</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22647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1032</v>
      </c>
      <c r="B6" s="3142" t="s">
        <v>1399</v>
      </c>
      <c r="C6" s="1299">
        <f ca="1">ROUND(F6*F8*F7*(1-F9)/10000,0)</f>
        <v>0</v>
      </c>
      <c r="D6" s="164" t="s">
        <v>3033</v>
      </c>
      <c r="E6" s="347" t="s">
        <v>1401</v>
      </c>
      <c r="F6" s="348">
        <f ca="1">INDIRECT("'数据-取费表'!u"&amp;$G$1)</f>
        <v>0</v>
      </c>
      <c r="G6" s="1853"/>
      <c r="H6" s="1294" t="s">
        <v>1032</v>
      </c>
      <c r="I6" s="3142" t="s">
        <v>1399</v>
      </c>
      <c r="J6" s="346">
        <f ca="1">ROUND(M6*M8*M7*(1-M9)/10000,0)</f>
        <v>0</v>
      </c>
      <c r="K6" s="164" t="s">
        <v>3032</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0</v>
      </c>
      <c r="G7" s="1853"/>
      <c r="H7" s="349"/>
      <c r="I7" s="3143"/>
      <c r="J7" s="351"/>
      <c r="K7" s="352"/>
      <c r="L7" s="347" t="s">
        <v>1402</v>
      </c>
      <c r="M7" s="348">
        <f ca="1">F7</f>
        <v>0</v>
      </c>
    </row>
    <row r="8" spans="1:37" ht="18" customHeight="1">
      <c r="A8" s="349"/>
      <c r="B8" s="3143"/>
      <c r="C8" s="351"/>
      <c r="D8" s="352"/>
      <c r="E8" s="347" t="s">
        <v>1403</v>
      </c>
      <c r="F8" s="348">
        <f ca="1">INDIRECT("'数据-取费表'!ai"&amp;$G$1)</f>
        <v>0</v>
      </c>
      <c r="G8" s="1853"/>
      <c r="H8" s="349"/>
      <c r="I8" s="3143"/>
      <c r="J8" s="351"/>
      <c r="K8" s="352"/>
      <c r="L8" s="347" t="s">
        <v>1403</v>
      </c>
      <c r="M8" s="348">
        <f ca="1">INDIRECT("'数据-取费表'!ai"&amp;$G$1)</f>
        <v>0</v>
      </c>
    </row>
    <row r="9" spans="1:37" ht="18" customHeight="1">
      <c r="A9" s="349"/>
      <c r="B9" s="3144"/>
      <c r="C9" s="351"/>
      <c r="D9" s="352"/>
      <c r="E9" s="347" t="s">
        <v>1404</v>
      </c>
      <c r="F9" s="357">
        <f ca="1">INDIRECT("'数据-取费表'!w"&amp;$G$1)</f>
        <v>0</v>
      </c>
      <c r="G9" s="1853"/>
      <c r="H9" s="349"/>
      <c r="I9" s="314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3042</v>
      </c>
      <c r="E10" s="358" t="s">
        <v>1406</v>
      </c>
      <c r="F10" s="1369"/>
      <c r="G10" s="1853"/>
      <c r="H10" s="1294" t="s">
        <v>1036</v>
      </c>
      <c r="I10" s="1825" t="s">
        <v>1405</v>
      </c>
      <c r="J10" s="346">
        <f ca="1">ROUND(IF(M10="押一",J6/12*M11,IF(M10="押二",J6/12*2*M11,IF(M10="押三",J6/12*3*M11,J11*M11))),0)</f>
        <v>0</v>
      </c>
      <c r="K10" s="1826" t="s">
        <v>3041</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0.04</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8</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ROUND(F49*F51*F50*(1-F52)/10000,0)</f>
        <v>0</v>
      </c>
      <c r="D49" s="1279" t="s">
        <v>3034</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24.75" thickBot="1">
      <c r="A53" s="1408" t="s">
        <v>1134</v>
      </c>
      <c r="B53" s="1833" t="s">
        <v>1405</v>
      </c>
      <c r="C53" s="361">
        <f ca="1">ROUND(IF(F53="押一",C49/12*F11,IF(F53="押二",C49/12*2*F11,IF(F53="押三",C49/12*3*F11,C54*F11))),0)</f>
        <v>0</v>
      </c>
      <c r="D53" s="1826" t="s">
        <v>3041</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40" t="s">
        <v>1544</v>
      </c>
      <c r="L53" s="3141"/>
      <c r="O53" s="1886" t="s">
        <v>1043</v>
      </c>
      <c r="P53" s="1887" t="s">
        <v>1545</v>
      </c>
      <c r="Q53" s="1888" t="e">
        <f ca="1">Q47+Q48</f>
        <v>#DIV/0!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8</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42" t="s">
        <v>1399</v>
      </c>
      <c r="C6" s="1299">
        <f ca="1">ROUND(F6*F8*F7*(1-F9),0)</f>
        <v>0</v>
      </c>
      <c r="D6" s="164" t="s">
        <v>3030</v>
      </c>
      <c r="E6" s="347" t="s">
        <v>1401</v>
      </c>
      <c r="F6" s="348">
        <f ca="1">INDIRECT("'数据-取费表'!u"&amp;$G$1)</f>
        <v>0</v>
      </c>
      <c r="G6" s="1853"/>
      <c r="H6" s="1294" t="s">
        <v>1032</v>
      </c>
      <c r="I6" s="3142" t="s">
        <v>1399</v>
      </c>
      <c r="J6" s="346">
        <f ca="1">ROUND(M6*M8*M7*(1-M9),0)</f>
        <v>0</v>
      </c>
      <c r="K6" s="1836" t="s">
        <v>3031</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0</v>
      </c>
      <c r="G7" s="1853"/>
      <c r="H7" s="349"/>
      <c r="I7" s="3143"/>
      <c r="J7" s="351"/>
      <c r="K7" s="352"/>
      <c r="L7" s="347" t="s">
        <v>1402</v>
      </c>
      <c r="M7" s="348">
        <f ca="1">F7</f>
        <v>0</v>
      </c>
    </row>
    <row r="8" spans="1:37" ht="18" customHeight="1">
      <c r="A8" s="349"/>
      <c r="B8" s="3143"/>
      <c r="C8" s="351"/>
      <c r="D8" s="352"/>
      <c r="E8" s="347" t="s">
        <v>1403</v>
      </c>
      <c r="F8" s="348">
        <f ca="1">INDIRECT("'数据-取费表'!ai"&amp;$G$1)</f>
        <v>0</v>
      </c>
      <c r="G8" s="1853"/>
      <c r="H8" s="349"/>
      <c r="I8" s="3143"/>
      <c r="J8" s="351"/>
      <c r="K8" s="352"/>
      <c r="L8" s="347" t="s">
        <v>1403</v>
      </c>
      <c r="M8" s="348">
        <f ca="1">INDIRECT("'数据-取费表'!ai"&amp;$G$1)</f>
        <v>0</v>
      </c>
    </row>
    <row r="9" spans="1:37" ht="18" customHeight="1">
      <c r="A9" s="349"/>
      <c r="B9" s="3144"/>
      <c r="C9" s="351"/>
      <c r="D9" s="352"/>
      <c r="E9" s="347" t="s">
        <v>1404</v>
      </c>
      <c r="F9" s="357">
        <f ca="1">INDIRECT("'数据-取费表'!w"&amp;$G$1)</f>
        <v>0</v>
      </c>
      <c r="G9" s="1853"/>
      <c r="H9" s="349"/>
      <c r="I9" s="314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3041</v>
      </c>
      <c r="E10" s="358" t="s">
        <v>1406</v>
      </c>
      <c r="F10" s="1369"/>
      <c r="G10" s="1853"/>
      <c r="H10" s="1294" t="s">
        <v>1036</v>
      </c>
      <c r="I10" s="1825" t="s">
        <v>1405</v>
      </c>
      <c r="J10" s="346">
        <f ca="1">ROUND(IF(M10="押一",J6/12*M11,IF(M10="押二",J6/12*2*M11,IF(M10="押三",J6/12*3*M11,J11*M11))),0)</f>
        <v>0</v>
      </c>
      <c r="K10" s="1837" t="s">
        <v>3043</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0.04</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8</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3044</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40" t="s">
        <v>1544</v>
      </c>
      <c r="L53" s="314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8</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2525</v>
      </c>
      <c r="B1" s="2567"/>
      <c r="C1" s="2567"/>
      <c r="D1" s="2567"/>
      <c r="E1" s="2568"/>
    </row>
    <row r="2" spans="1:6" ht="15.75">
      <c r="A2" s="2569" t="s">
        <v>2329</v>
      </c>
      <c r="B2" s="2570">
        <f ca="1">SUMIF(B6:B13,"&lt;&gt;#ref!",B6:B13)</f>
        <v>0</v>
      </c>
      <c r="C2" s="2571" t="s">
        <v>2518</v>
      </c>
      <c r="D2" s="2572" t="s">
        <v>2519</v>
      </c>
      <c r="E2" s="2573">
        <f>SUM(E6:E13)</f>
        <v>0</v>
      </c>
    </row>
    <row r="3" spans="1:6" ht="15.75">
      <c r="A3" s="2569" t="s">
        <v>1391</v>
      </c>
      <c r="B3" s="2570" t="e">
        <f ca="1">ROUND(B2*10000/E2,0)</f>
        <v>#DIV/0!</v>
      </c>
      <c r="C3" s="2571" t="s">
        <v>2526</v>
      </c>
      <c r="D3" s="2574"/>
      <c r="E3" s="2575"/>
    </row>
    <row r="4" spans="1:6" ht="15.75">
      <c r="A4" s="2576"/>
      <c r="B4" s="2574"/>
      <c r="C4" s="2574"/>
      <c r="D4" s="2574"/>
      <c r="E4" s="2575"/>
    </row>
    <row r="5" spans="1:6" ht="15">
      <c r="A5" s="2577" t="s">
        <v>2520</v>
      </c>
      <c r="B5" s="3145" t="s">
        <v>2521</v>
      </c>
      <c r="C5" s="3145"/>
      <c r="D5" s="2578"/>
      <c r="E5" s="2579" t="s">
        <v>2522</v>
      </c>
      <c r="F5" s="2580" t="s">
        <v>2523</v>
      </c>
    </row>
    <row r="6" spans="1:6">
      <c r="A6" s="2581">
        <f>'数据-取费表'!AN6</f>
        <v>0</v>
      </c>
      <c r="B6" s="2580" t="e">
        <f ca="1">IF(F6="是",'数据-取费表'!AO6,0)</f>
        <v>#REF!</v>
      </c>
      <c r="C6" s="2571" t="s">
        <v>2518</v>
      </c>
      <c r="D6" s="2574"/>
      <c r="E6" s="2582">
        <f>IF(OR(A6=0,F6="否"),0,'数据-取费表'!K6+'数据-取费表'!S6)</f>
        <v>0</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1073</v>
      </c>
      <c r="B1" s="3147"/>
      <c r="C1" s="3148"/>
      <c r="D1" s="3149">
        <f>SUM(I10,I15,I20,I21,I23)</f>
        <v>0</v>
      </c>
      <c r="E1" s="3149"/>
      <c r="F1" s="3149"/>
      <c r="G1" s="3149"/>
      <c r="H1" s="3149"/>
      <c r="I1" s="3150"/>
    </row>
    <row r="2" spans="1:9">
      <c r="A2" s="3151" t="s">
        <v>1074</v>
      </c>
      <c r="B2" s="3152" t="s">
        <v>1075</v>
      </c>
      <c r="C2" s="3152"/>
      <c r="D2" s="1304" t="s">
        <v>1076</v>
      </c>
      <c r="E2" s="1304" t="s">
        <v>1077</v>
      </c>
      <c r="F2" s="1304" t="s">
        <v>1078</v>
      </c>
      <c r="G2" s="1304" t="s">
        <v>1079</v>
      </c>
      <c r="H2" s="1304" t="s">
        <v>1080</v>
      </c>
      <c r="I2" s="1305" t="s">
        <v>1081</v>
      </c>
    </row>
    <row r="3" spans="1:9">
      <c r="A3" s="3151"/>
      <c r="B3" s="3152" t="s">
        <v>1082</v>
      </c>
      <c r="C3" s="3152"/>
      <c r="D3" s="1306"/>
      <c r="E3" s="1304"/>
      <c r="F3" s="1307"/>
      <c r="G3" s="1307"/>
      <c r="H3" s="1308"/>
      <c r="I3" s="1309">
        <f>ROUND(D3*E3*F3*G3*H3/10000,0)</f>
        <v>0</v>
      </c>
    </row>
    <row r="4" spans="1:9">
      <c r="A4" s="3151"/>
      <c r="B4" s="3152" t="s">
        <v>1083</v>
      </c>
      <c r="C4" s="3152"/>
      <c r="D4" s="1306"/>
      <c r="E4" s="1304"/>
      <c r="F4" s="1307"/>
      <c r="G4" s="1307"/>
      <c r="H4" s="1308"/>
      <c r="I4" s="1309">
        <f t="shared" ref="I4:I9" si="0">ROUND(D4*E4*F4*G4*H4/10000,0)</f>
        <v>0</v>
      </c>
    </row>
    <row r="5" spans="1:9">
      <c r="A5" s="3151"/>
      <c r="B5" s="3152" t="s">
        <v>1084</v>
      </c>
      <c r="C5" s="3152"/>
      <c r="D5" s="1306"/>
      <c r="E5" s="1304"/>
      <c r="F5" s="1307"/>
      <c r="G5" s="1307"/>
      <c r="H5" s="1308"/>
      <c r="I5" s="1309">
        <f t="shared" si="0"/>
        <v>0</v>
      </c>
    </row>
    <row r="6" spans="1:9">
      <c r="A6" s="3151"/>
      <c r="B6" s="3152" t="s">
        <v>1085</v>
      </c>
      <c r="C6" s="3152"/>
      <c r="D6" s="1306"/>
      <c r="E6" s="1304"/>
      <c r="F6" s="1307"/>
      <c r="G6" s="1307"/>
      <c r="H6" s="1308"/>
      <c r="I6" s="1309">
        <f t="shared" si="0"/>
        <v>0</v>
      </c>
    </row>
    <row r="7" spans="1:9">
      <c r="A7" s="3151"/>
      <c r="B7" s="3152" t="s">
        <v>1086</v>
      </c>
      <c r="C7" s="3152"/>
      <c r="D7" s="1306"/>
      <c r="E7" s="1304"/>
      <c r="F7" s="1307"/>
      <c r="G7" s="1307"/>
      <c r="H7" s="1308"/>
      <c r="I7" s="1309">
        <f t="shared" si="0"/>
        <v>0</v>
      </c>
    </row>
    <row r="8" spans="1:9">
      <c r="A8" s="3151"/>
      <c r="B8" s="3152" t="s">
        <v>1087</v>
      </c>
      <c r="C8" s="3152"/>
      <c r="D8" s="1306"/>
      <c r="E8" s="1304"/>
      <c r="F8" s="1307"/>
      <c r="G8" s="1307"/>
      <c r="H8" s="1308"/>
      <c r="I8" s="1309">
        <f t="shared" si="0"/>
        <v>0</v>
      </c>
    </row>
    <row r="9" spans="1:9">
      <c r="A9" s="3151"/>
      <c r="B9" s="3152" t="s">
        <v>1088</v>
      </c>
      <c r="C9" s="3152"/>
      <c r="D9" s="1306"/>
      <c r="E9" s="1304"/>
      <c r="F9" s="1307"/>
      <c r="G9" s="1307"/>
      <c r="H9" s="1308"/>
      <c r="I9" s="1309">
        <f t="shared" si="0"/>
        <v>0</v>
      </c>
    </row>
    <row r="10" spans="1:9">
      <c r="A10" s="3151"/>
      <c r="B10" s="3153" t="s">
        <v>1089</v>
      </c>
      <c r="C10" s="3153"/>
      <c r="D10" s="1310"/>
      <c r="E10" s="1310" t="e">
        <f>ROUND(D1*10000/D10/H9,0)</f>
        <v>#DIV/0!</v>
      </c>
      <c r="F10" s="1311"/>
      <c r="G10" s="1311"/>
      <c r="H10" s="1312"/>
      <c r="I10" s="1313">
        <f>SUM(I3:I9)</f>
        <v>0</v>
      </c>
    </row>
    <row r="11" spans="1:9" ht="14.25">
      <c r="A11" s="3151" t="s">
        <v>1090</v>
      </c>
      <c r="B11" s="3152" t="s">
        <v>1091</v>
      </c>
      <c r="C11" s="3152"/>
      <c r="D11" s="1306" t="s">
        <v>1092</v>
      </c>
      <c r="E11" s="1306" t="s">
        <v>1093</v>
      </c>
      <c r="F11" s="1307" t="s">
        <v>1094</v>
      </c>
      <c r="G11" s="1307" t="s">
        <v>1080</v>
      </c>
      <c r="H11" s="1314" t="s">
        <v>1095</v>
      </c>
      <c r="I11" s="1305" t="s">
        <v>1081</v>
      </c>
    </row>
    <row r="12" spans="1:9">
      <c r="A12" s="3151"/>
      <c r="B12" s="3152" t="s">
        <v>1096</v>
      </c>
      <c r="C12" s="3152"/>
      <c r="D12" s="1306"/>
      <c r="E12" s="1306"/>
      <c r="F12" s="1307"/>
      <c r="G12" s="1308"/>
      <c r="H12" s="1315"/>
      <c r="I12" s="1305">
        <f>ROUND(D12*E12*F12*G12/10000,0)</f>
        <v>0</v>
      </c>
    </row>
    <row r="13" spans="1:9">
      <c r="A13" s="3151"/>
      <c r="B13" s="3152" t="s">
        <v>1097</v>
      </c>
      <c r="C13" s="3152"/>
      <c r="D13" s="1306"/>
      <c r="E13" s="1306"/>
      <c r="F13" s="1307"/>
      <c r="G13" s="1308"/>
      <c r="H13" s="1315"/>
      <c r="I13" s="1305">
        <f>ROUND(D13*E13*F13*G13/10000,0)</f>
        <v>0</v>
      </c>
    </row>
    <row r="14" spans="1:9">
      <c r="A14" s="3151"/>
      <c r="B14" s="3152" t="s">
        <v>1098</v>
      </c>
      <c r="C14" s="3152"/>
      <c r="D14" s="1306"/>
      <c r="E14" s="1306"/>
      <c r="F14" s="1307"/>
      <c r="G14" s="1308"/>
      <c r="H14" s="1315"/>
      <c r="I14" s="1305">
        <f>ROUND(D14*E14*F14*G14/10000,0)</f>
        <v>0</v>
      </c>
    </row>
    <row r="15" spans="1:9">
      <c r="A15" s="3151"/>
      <c r="B15" s="3153" t="s">
        <v>1089</v>
      </c>
      <c r="C15" s="3153"/>
      <c r="D15" s="1310"/>
      <c r="E15" s="1310">
        <f>SUM(E12:E14)</f>
        <v>0</v>
      </c>
      <c r="F15" s="1311"/>
      <c r="G15" s="1308"/>
      <c r="H15" s="1315"/>
      <c r="I15" s="1316">
        <f>SUM(I12:I14)</f>
        <v>0</v>
      </c>
    </row>
    <row r="16" spans="1:9" ht="24">
      <c r="A16" s="3151" t="s">
        <v>1099</v>
      </c>
      <c r="B16" s="3152" t="s">
        <v>1100</v>
      </c>
      <c r="C16" s="3152"/>
      <c r="D16" s="1306" t="s">
        <v>1076</v>
      </c>
      <c r="E16" s="1317" t="s">
        <v>1101</v>
      </c>
      <c r="F16" s="1307" t="s">
        <v>1102</v>
      </c>
      <c r="G16" s="1308" t="s">
        <v>1080</v>
      </c>
      <c r="H16" s="1314" t="s">
        <v>1095</v>
      </c>
      <c r="I16" s="1305" t="s">
        <v>1081</v>
      </c>
    </row>
    <row r="17" spans="1:9" ht="14.25">
      <c r="A17" s="3151"/>
      <c r="B17" s="3152" t="s">
        <v>1103</v>
      </c>
      <c r="C17" s="3152"/>
      <c r="D17" s="1306"/>
      <c r="E17" s="1306"/>
      <c r="F17" s="1307"/>
      <c r="G17" s="1308"/>
      <c r="H17" s="1318"/>
      <c r="I17" s="1319">
        <f>ROUND(D17*E17*F17*G17/10000,0)</f>
        <v>0</v>
      </c>
    </row>
    <row r="18" spans="1:9" ht="14.25">
      <c r="A18" s="3151"/>
      <c r="B18" s="3152" t="s">
        <v>1104</v>
      </c>
      <c r="C18" s="3152"/>
      <c r="D18" s="1306"/>
      <c r="E18" s="1306"/>
      <c r="F18" s="1307"/>
      <c r="G18" s="1308"/>
      <c r="H18" s="1318"/>
      <c r="I18" s="1319">
        <f>ROUND(D18*E18*F18*G18/10000,0)</f>
        <v>0</v>
      </c>
    </row>
    <row r="19" spans="1:9" ht="14.25">
      <c r="A19" s="3151"/>
      <c r="B19" s="3152" t="s">
        <v>1105</v>
      </c>
      <c r="C19" s="3152"/>
      <c r="D19" s="1306"/>
      <c r="E19" s="1306"/>
      <c r="F19" s="1307"/>
      <c r="G19" s="1308"/>
      <c r="H19" s="1318"/>
      <c r="I19" s="1319">
        <f>ROUND(D19*E19*F19*G19/10000,0)</f>
        <v>0</v>
      </c>
    </row>
    <row r="20" spans="1:9">
      <c r="A20" s="3151"/>
      <c r="B20" s="3153" t="s">
        <v>1089</v>
      </c>
      <c r="C20" s="3153"/>
      <c r="D20" s="1310">
        <f>SUM(D17:D19)</f>
        <v>0</v>
      </c>
      <c r="E20" s="1310"/>
      <c r="F20" s="1311"/>
      <c r="G20" s="1308"/>
      <c r="H20" s="1315"/>
      <c r="I20" s="1316">
        <f>SUM(I17:I19)</f>
        <v>0</v>
      </c>
    </row>
    <row r="21" spans="1:9">
      <c r="A21" s="3151" t="s">
        <v>1106</v>
      </c>
      <c r="B21" s="3155"/>
      <c r="C21" s="3155"/>
      <c r="D21" s="3155"/>
      <c r="E21" s="3155"/>
      <c r="F21" s="3155"/>
      <c r="G21" s="3155"/>
      <c r="H21" s="1767">
        <v>0.1</v>
      </c>
      <c r="I21" s="1313">
        <f>ROUND(I10*H21,0)</f>
        <v>0</v>
      </c>
    </row>
    <row r="22" spans="1:9" ht="14.25">
      <c r="A22" s="3156" t="s">
        <v>1107</v>
      </c>
      <c r="B22" s="3157"/>
      <c r="C22" s="3158"/>
      <c r="D22" s="1320" t="s">
        <v>1108</v>
      </c>
      <c r="E22" s="1320" t="s">
        <v>1109</v>
      </c>
      <c r="F22" s="1321" t="s">
        <v>1110</v>
      </c>
      <c r="G22" s="1321" t="s">
        <v>1111</v>
      </c>
      <c r="H22" s="1314" t="s">
        <v>1112</v>
      </c>
      <c r="I22" s="1305" t="s">
        <v>1113</v>
      </c>
    </row>
    <row r="23" spans="1:9" ht="14.25" thickBot="1">
      <c r="A23" s="3159"/>
      <c r="B23" s="3160"/>
      <c r="C23" s="3161"/>
      <c r="D23" s="1322"/>
      <c r="E23" s="1322"/>
      <c r="F23" s="1322"/>
      <c r="G23" s="1323"/>
      <c r="H23" s="1324"/>
      <c r="I23" s="1325">
        <f>ROUND(E23*D23*F23*(1-G23)/10000,0)</f>
        <v>0</v>
      </c>
    </row>
    <row r="26" spans="1:9">
      <c r="A26" s="1326" t="s">
        <v>1114</v>
      </c>
      <c r="B26" s="1326"/>
      <c r="C26" s="1326"/>
      <c r="D26" s="1326"/>
      <c r="E26" s="3162">
        <f>C27-C30-C31-C32</f>
        <v>0</v>
      </c>
      <c r="F26" s="3162"/>
      <c r="G26" s="3162"/>
      <c r="H26" s="1739" t="s">
        <v>1336</v>
      </c>
    </row>
    <row r="27" spans="1:9">
      <c r="A27" s="1327">
        <v>1</v>
      </c>
      <c r="B27" s="1328" t="s">
        <v>1115</v>
      </c>
      <c r="C27" s="1328">
        <f>C28+C29</f>
        <v>0</v>
      </c>
      <c r="D27" s="1328"/>
      <c r="E27" s="3163"/>
      <c r="F27" s="3163"/>
      <c r="G27" s="3163"/>
    </row>
    <row r="28" spans="1:9">
      <c r="A28" s="1329" t="s">
        <v>1116</v>
      </c>
      <c r="B28" s="1328" t="s">
        <v>1117</v>
      </c>
      <c r="C28" s="1328"/>
      <c r="D28" s="1328"/>
      <c r="E28" s="3163"/>
      <c r="F28" s="3163"/>
      <c r="G28" s="316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4"/>
      <c r="F32" s="3154"/>
      <c r="G32" s="3154"/>
    </row>
    <row r="33" spans="1:7" hidden="1">
      <c r="A33" s="3164" t="s">
        <v>1126</v>
      </c>
      <c r="B33" s="3165"/>
      <c r="C33" s="3165"/>
      <c r="D33" s="3166"/>
      <c r="E33" s="3162"/>
      <c r="F33" s="3162"/>
      <c r="G33" s="3162"/>
    </row>
    <row r="34" spans="1:7" hidden="1">
      <c r="A34" s="1331">
        <v>1</v>
      </c>
      <c r="B34" s="1328" t="s">
        <v>1127</v>
      </c>
      <c r="C34" s="1328"/>
      <c r="D34" s="1328"/>
      <c r="E34" s="3163"/>
      <c r="F34" s="3163"/>
      <c r="G34" s="3163"/>
    </row>
    <row r="35" spans="1:7" hidden="1">
      <c r="A35" s="1331">
        <v>2</v>
      </c>
      <c r="B35" s="1328" t="s">
        <v>1128</v>
      </c>
      <c r="C35" s="1328"/>
      <c r="D35" s="1328"/>
      <c r="E35" s="3163"/>
      <c r="F35" s="3163"/>
      <c r="G35" s="3163"/>
    </row>
    <row r="36" spans="1:7" hidden="1">
      <c r="A36" s="1331">
        <v>3</v>
      </c>
      <c r="B36" s="1328" t="s">
        <v>1129</v>
      </c>
      <c r="C36" s="1328"/>
      <c r="D36" s="1328"/>
      <c r="E36" s="3163"/>
      <c r="F36" s="3163"/>
      <c r="G36" s="3163"/>
    </row>
    <row r="37" spans="1:7" hidden="1">
      <c r="A37" s="1331">
        <v>4</v>
      </c>
      <c r="B37" s="1328" t="s">
        <v>1130</v>
      </c>
      <c r="C37" s="1328"/>
      <c r="D37" s="1328"/>
      <c r="E37" s="3163"/>
      <c r="F37" s="3163"/>
      <c r="G37" s="3163"/>
    </row>
    <row r="38" spans="1:7" hidden="1">
      <c r="A38" s="3164" t="s">
        <v>1131</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7" t="s">
        <v>2528</v>
      </c>
      <c r="C1" s="1636" t="s">
        <v>2529</v>
      </c>
      <c r="D1" s="1623"/>
      <c r="E1" s="2588"/>
      <c r="F1" s="2589" t="s">
        <v>2530</v>
      </c>
      <c r="G1" s="1633" t="s">
        <v>2531</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62915.380000000005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185" t="s">
        <v>2535</v>
      </c>
      <c r="D4" s="3186"/>
      <c r="E4" s="3187" t="s">
        <v>2536</v>
      </c>
      <c r="F4" s="3188"/>
      <c r="G4" s="3185" t="s">
        <v>2537</v>
      </c>
      <c r="H4" s="3186"/>
      <c r="I4" s="3185" t="s">
        <v>2538</v>
      </c>
      <c r="J4" s="3186"/>
      <c r="K4" s="2601" t="s">
        <v>2539</v>
      </c>
      <c r="L4" s="1133"/>
      <c r="M4" s="1134"/>
      <c r="N4" s="1134"/>
      <c r="O4" s="1134"/>
      <c r="P4" s="3189" t="s">
        <v>2540</v>
      </c>
      <c r="Q4" s="3190"/>
      <c r="R4" s="3172" t="s">
        <v>2536</v>
      </c>
      <c r="S4" s="3173"/>
      <c r="T4" s="3172" t="s">
        <v>2537</v>
      </c>
      <c r="U4" s="3173"/>
      <c r="V4" s="3197" t="s">
        <v>2538</v>
      </c>
      <c r="W4" s="3197"/>
      <c r="X4" s="1815"/>
      <c r="Y4" s="3172" t="s">
        <v>2540</v>
      </c>
      <c r="Z4" s="3173"/>
      <c r="AA4" s="3167" t="s">
        <v>2536</v>
      </c>
      <c r="AB4" s="3167" t="s">
        <v>2537</v>
      </c>
      <c r="AC4" s="3167" t="s">
        <v>2538</v>
      </c>
    </row>
    <row r="5" spans="1:29" ht="15">
      <c r="A5" s="404"/>
      <c r="B5" s="405"/>
      <c r="C5" s="3178" t="s">
        <v>2541</v>
      </c>
      <c r="D5" s="3179"/>
      <c r="E5" s="3176" t="s">
        <v>2542</v>
      </c>
      <c r="F5" s="3177"/>
      <c r="G5" s="3178" t="s">
        <v>2543</v>
      </c>
      <c r="H5" s="3179"/>
      <c r="I5" s="3178" t="s">
        <v>2544</v>
      </c>
      <c r="J5" s="3179"/>
      <c r="K5" s="2602"/>
      <c r="L5" s="1133"/>
      <c r="M5" s="1134"/>
      <c r="N5" s="1134"/>
      <c r="O5" s="1134"/>
      <c r="P5" s="3191"/>
      <c r="Q5" s="3192"/>
      <c r="R5" s="3174"/>
      <c r="S5" s="3175"/>
      <c r="T5" s="3174"/>
      <c r="U5" s="3175"/>
      <c r="V5" s="3197"/>
      <c r="W5" s="3197"/>
      <c r="X5" s="1815"/>
      <c r="Y5" s="3174"/>
      <c r="Z5" s="3175"/>
      <c r="AA5" s="3168"/>
      <c r="AB5" s="3168"/>
      <c r="AC5" s="3168"/>
    </row>
    <row r="6" spans="1:29" ht="15.75" thickBot="1">
      <c r="A6" s="406"/>
      <c r="B6" s="407"/>
      <c r="C6" s="3180" t="s">
        <v>2545</v>
      </c>
      <c r="D6" s="3181"/>
      <c r="E6" s="3182" t="s">
        <v>2545</v>
      </c>
      <c r="F6" s="3183"/>
      <c r="G6" s="3180" t="s">
        <v>2545</v>
      </c>
      <c r="H6" s="3181"/>
      <c r="I6" s="3180" t="s">
        <v>2545</v>
      </c>
      <c r="J6" s="3181"/>
      <c r="K6" s="2602" t="s">
        <v>2546</v>
      </c>
      <c r="L6" s="1133"/>
      <c r="M6" s="1134"/>
      <c r="N6" s="1134"/>
      <c r="O6" s="1134"/>
      <c r="P6" s="3193"/>
      <c r="Q6" s="3194"/>
      <c r="R6" s="3174"/>
      <c r="S6" s="3175"/>
      <c r="T6" s="3195"/>
      <c r="U6" s="3196"/>
      <c r="V6" s="3197"/>
      <c r="W6" s="3197"/>
      <c r="X6" s="1815"/>
      <c r="Y6" s="3195"/>
      <c r="Z6" s="3196"/>
      <c r="AA6" s="3169"/>
      <c r="AB6" s="3169"/>
      <c r="AC6" s="3169"/>
    </row>
    <row r="7" spans="1:29" s="117" customFormat="1" ht="15.75" thickBot="1">
      <c r="A7" s="408" t="s">
        <v>2547</v>
      </c>
      <c r="B7" s="409"/>
      <c r="C7" s="410">
        <f>'数据-取费表'!B2</f>
        <v>43487</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0" t="s">
        <v>2548</v>
      </c>
      <c r="Q7" s="3198"/>
      <c r="R7" s="770" t="s">
        <v>23</v>
      </c>
      <c r="S7" s="771">
        <f t="shared" ref="S7:S15" si="0">F7</f>
        <v>0</v>
      </c>
      <c r="T7" s="770" t="s">
        <v>23</v>
      </c>
      <c r="U7" s="771">
        <f t="shared" ref="U7:U15" si="1">H7</f>
        <v>0</v>
      </c>
      <c r="V7" s="770" t="s">
        <v>23</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0" t="s">
        <v>2551</v>
      </c>
      <c r="Q8" s="3171"/>
      <c r="R8" s="770" t="s">
        <v>23</v>
      </c>
      <c r="S8" s="771">
        <f t="shared" si="0"/>
        <v>0</v>
      </c>
      <c r="T8" s="770" t="s">
        <v>23</v>
      </c>
      <c r="U8" s="771">
        <f t="shared" si="1"/>
        <v>0</v>
      </c>
      <c r="V8" s="770" t="s">
        <v>23</v>
      </c>
      <c r="W8" s="771">
        <f t="shared" si="2"/>
        <v>0</v>
      </c>
      <c r="X8" s="772"/>
      <c r="Y8" s="3170" t="s">
        <v>2551</v>
      </c>
      <c r="Z8" s="317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4"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4"/>
      <c r="Q11" s="1797"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4"/>
      <c r="Q12" s="1797">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4"/>
      <c r="Q13" s="1797">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4"/>
      <c r="Q14" s="1797">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2558</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2559</v>
      </c>
      <c r="Q15" s="1812" t="str">
        <f t="shared" si="6"/>
        <v>居住社区成熟度</v>
      </c>
      <c r="R15" s="774" t="s">
        <v>21</v>
      </c>
      <c r="S15" s="775">
        <f t="shared" si="0"/>
        <v>100</v>
      </c>
      <c r="T15" s="774" t="s">
        <v>21</v>
      </c>
      <c r="U15" s="775">
        <f t="shared" si="1"/>
        <v>100</v>
      </c>
      <c r="V15" s="774" t="s">
        <v>21</v>
      </c>
      <c r="W15" s="775">
        <f t="shared" si="2"/>
        <v>100</v>
      </c>
      <c r="X15" s="1815"/>
      <c r="Y15" s="3204" t="s">
        <v>2559</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12"/>
      <c r="Q16" s="1812"/>
      <c r="R16" s="774"/>
      <c r="S16" s="775"/>
      <c r="T16" s="774"/>
      <c r="U16" s="775"/>
      <c r="V16" s="774"/>
      <c r="W16" s="775"/>
      <c r="X16" s="1815"/>
      <c r="Y16" s="320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2" t="str">
        <f>B17</f>
        <v>交通便捷度</v>
      </c>
      <c r="R17" s="774" t="s">
        <v>21</v>
      </c>
      <c r="S17" s="775">
        <f>F17</f>
        <v>100</v>
      </c>
      <c r="T17" s="774" t="s">
        <v>21</v>
      </c>
      <c r="U17" s="775">
        <f>H17</f>
        <v>100</v>
      </c>
      <c r="V17" s="774" t="s">
        <v>21</v>
      </c>
      <c r="W17" s="775">
        <f>J17</f>
        <v>100</v>
      </c>
      <c r="X17" s="1815"/>
      <c r="Y17" s="3205"/>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12"/>
      <c r="Q18" s="1812"/>
      <c r="R18" s="774"/>
      <c r="S18" s="775"/>
      <c r="T18" s="774"/>
      <c r="U18" s="775"/>
      <c r="V18" s="774"/>
      <c r="W18" s="775"/>
      <c r="X18" s="1815"/>
      <c r="Y18" s="3205"/>
      <c r="Z18" s="1816"/>
      <c r="AA18" s="1813">
        <v>1</v>
      </c>
      <c r="AB18" s="1813">
        <v>1</v>
      </c>
      <c r="AC18" s="1813">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2" t="str">
        <f>B19</f>
        <v>公共配套设施</v>
      </c>
      <c r="R19" s="774" t="s">
        <v>21</v>
      </c>
      <c r="S19" s="775">
        <f>F19</f>
        <v>100</v>
      </c>
      <c r="T19" s="774" t="s">
        <v>21</v>
      </c>
      <c r="U19" s="775">
        <f>H19</f>
        <v>100</v>
      </c>
      <c r="V19" s="774" t="s">
        <v>21</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12"/>
      <c r="Q20" s="1812"/>
      <c r="R20" s="774"/>
      <c r="S20" s="775"/>
      <c r="T20" s="774"/>
      <c r="U20" s="775"/>
      <c r="V20" s="774"/>
      <c r="W20" s="775"/>
      <c r="X20" s="1815"/>
      <c r="Y20" s="3205"/>
      <c r="Z20" s="1816"/>
      <c r="AA20" s="1813">
        <v>1</v>
      </c>
      <c r="AB20" s="1813">
        <v>1</v>
      </c>
      <c r="AC20" s="1813">
        <v>1</v>
      </c>
    </row>
    <row r="21" spans="1:29" ht="28.5">
      <c r="A21" s="428"/>
      <c r="B21" s="1387"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12"/>
      <c r="Q22" s="1812"/>
      <c r="R22" s="774"/>
      <c r="S22" s="775"/>
      <c r="T22" s="774"/>
      <c r="U22" s="775"/>
      <c r="V22" s="774"/>
      <c r="W22" s="775"/>
      <c r="X22" s="1815"/>
      <c r="Y22" s="3205"/>
      <c r="Z22" s="1816"/>
      <c r="AA22" s="1813">
        <v>1</v>
      </c>
      <c r="AB22" s="1813">
        <v>1</v>
      </c>
      <c r="AC22" s="1813">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2" t="str">
        <f>B23</f>
        <v>自然及人文环境</v>
      </c>
      <c r="R23" s="774" t="s">
        <v>21</v>
      </c>
      <c r="S23" s="775">
        <f>F23</f>
        <v>100</v>
      </c>
      <c r="T23" s="774" t="s">
        <v>21</v>
      </c>
      <c r="U23" s="775">
        <f>H23</f>
        <v>100</v>
      </c>
      <c r="V23" s="774" t="s">
        <v>21</v>
      </c>
      <c r="W23" s="775">
        <f>J23</f>
        <v>100</v>
      </c>
      <c r="X23" s="1815"/>
      <c r="Y23" s="3205"/>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12"/>
      <c r="Q24" s="1812"/>
      <c r="R24" s="774"/>
      <c r="S24" s="775"/>
      <c r="T24" s="774"/>
      <c r="U24" s="775"/>
      <c r="V24" s="774"/>
      <c r="W24" s="775"/>
      <c r="X24" s="1815"/>
      <c r="Y24" s="3205"/>
      <c r="Z24" s="1816"/>
      <c r="AA24" s="1813">
        <v>1</v>
      </c>
      <c r="AB24" s="1813">
        <v>1</v>
      </c>
      <c r="AC24" s="1813">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1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12"/>
      <c r="Q26" s="1812" t="str">
        <f t="shared" si="11"/>
        <v>朝向</v>
      </c>
      <c r="R26" s="774" t="s">
        <v>21</v>
      </c>
      <c r="S26" s="775">
        <f t="shared" si="12"/>
        <v>100</v>
      </c>
      <c r="T26" s="774" t="s">
        <v>21</v>
      </c>
      <c r="U26" s="775">
        <f t="shared" si="13"/>
        <v>100</v>
      </c>
      <c r="V26" s="774" t="s">
        <v>21</v>
      </c>
      <c r="W26" s="775">
        <f t="shared" si="14"/>
        <v>100</v>
      </c>
      <c r="X26" s="1815"/>
      <c r="Y26" s="320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12"/>
      <c r="Q27" s="1797">
        <f t="shared" si="11"/>
        <v>111</v>
      </c>
      <c r="R27" s="770" t="s">
        <v>21</v>
      </c>
      <c r="S27" s="771">
        <f t="shared" si="12"/>
        <v>100</v>
      </c>
      <c r="T27" s="770" t="s">
        <v>21</v>
      </c>
      <c r="U27" s="771">
        <f t="shared" si="13"/>
        <v>100</v>
      </c>
      <c r="V27" s="770" t="s">
        <v>21</v>
      </c>
      <c r="W27" s="771">
        <f t="shared" si="14"/>
        <v>100</v>
      </c>
      <c r="X27" s="772"/>
      <c r="Y27" s="320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12"/>
      <c r="Q28" s="1812">
        <f t="shared" si="11"/>
        <v>111</v>
      </c>
      <c r="R28" s="774" t="s">
        <v>21</v>
      </c>
      <c r="S28" s="775">
        <f t="shared" si="12"/>
        <v>100</v>
      </c>
      <c r="T28" s="774" t="s">
        <v>21</v>
      </c>
      <c r="U28" s="775">
        <f t="shared" si="13"/>
        <v>100</v>
      </c>
      <c r="V28" s="774" t="s">
        <v>21</v>
      </c>
      <c r="W28" s="775">
        <f t="shared" si="14"/>
        <v>100</v>
      </c>
      <c r="X28" s="1815"/>
      <c r="Y28" s="320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12"/>
      <c r="Q29" s="1812">
        <f t="shared" si="11"/>
        <v>111</v>
      </c>
      <c r="R29" s="774" t="s">
        <v>21</v>
      </c>
      <c r="S29" s="775">
        <f t="shared" si="12"/>
        <v>100</v>
      </c>
      <c r="T29" s="774" t="s">
        <v>21</v>
      </c>
      <c r="U29" s="775">
        <f t="shared" si="13"/>
        <v>100</v>
      </c>
      <c r="V29" s="774" t="s">
        <v>21</v>
      </c>
      <c r="W29" s="775">
        <f t="shared" si="14"/>
        <v>100</v>
      </c>
      <c r="X29" s="1815"/>
      <c r="Y29" s="320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12"/>
      <c r="Q30" s="1812">
        <f t="shared" si="11"/>
        <v>111</v>
      </c>
      <c r="R30" s="774" t="s">
        <v>21</v>
      </c>
      <c r="S30" s="775">
        <f t="shared" si="12"/>
        <v>100</v>
      </c>
      <c r="T30" s="774" t="s">
        <v>21</v>
      </c>
      <c r="U30" s="775">
        <f t="shared" si="13"/>
        <v>100</v>
      </c>
      <c r="V30" s="774" t="s">
        <v>21</v>
      </c>
      <c r="W30" s="775">
        <f t="shared" si="14"/>
        <v>100</v>
      </c>
      <c r="X30" s="1815"/>
      <c r="Y30" s="320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12"/>
      <c r="Q31" s="1812">
        <f t="shared" si="11"/>
        <v>111</v>
      </c>
      <c r="R31" s="774" t="s">
        <v>21</v>
      </c>
      <c r="S31" s="775">
        <f t="shared" si="12"/>
        <v>100</v>
      </c>
      <c r="T31" s="774" t="s">
        <v>21</v>
      </c>
      <c r="U31" s="775">
        <f t="shared" si="13"/>
        <v>100</v>
      </c>
      <c r="V31" s="774" t="s">
        <v>21</v>
      </c>
      <c r="W31" s="775">
        <f t="shared" si="14"/>
        <v>100</v>
      </c>
      <c r="X31" s="1815"/>
      <c r="Y31" s="3205"/>
      <c r="Z31" s="1816">
        <f t="shared" si="18"/>
        <v>111</v>
      </c>
      <c r="AA31" s="1813">
        <f t="shared" si="15"/>
        <v>1</v>
      </c>
      <c r="AB31" s="1813">
        <f t="shared" si="16"/>
        <v>1</v>
      </c>
      <c r="AC31" s="1813">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06" t="s">
        <v>2564</v>
      </c>
      <c r="Q32" s="1812" t="str">
        <f t="shared" si="11"/>
        <v>建筑类型</v>
      </c>
      <c r="R32" s="774" t="s">
        <v>21</v>
      </c>
      <c r="S32" s="775">
        <f t="shared" si="12"/>
        <v>100</v>
      </c>
      <c r="T32" s="774" t="s">
        <v>21</v>
      </c>
      <c r="U32" s="775">
        <f t="shared" si="13"/>
        <v>100</v>
      </c>
      <c r="V32" s="774" t="s">
        <v>21</v>
      </c>
      <c r="W32" s="775">
        <f t="shared" si="14"/>
        <v>100</v>
      </c>
      <c r="X32" s="1815"/>
      <c r="Y32" s="3209" t="s">
        <v>2564</v>
      </c>
      <c r="Z32" s="1816" t="str">
        <f t="shared" si="18"/>
        <v>建筑类型</v>
      </c>
      <c r="AA32" s="1813">
        <f t="shared" si="15"/>
        <v>1</v>
      </c>
      <c r="AB32" s="1813">
        <f t="shared" si="16"/>
        <v>1</v>
      </c>
      <c r="AC32" s="181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3" t="e">
        <f t="shared" si="15"/>
        <v>#N/A</v>
      </c>
      <c r="AB33" s="1813" t="e">
        <f t="shared" si="16"/>
        <v>#N/A</v>
      </c>
      <c r="AC33" s="1813"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07"/>
      <c r="Q34" s="1812" t="str">
        <f t="shared" si="11"/>
        <v>建筑结构</v>
      </c>
      <c r="R34" s="774" t="s">
        <v>21</v>
      </c>
      <c r="S34" s="775">
        <f t="shared" si="12"/>
        <v>100</v>
      </c>
      <c r="T34" s="774" t="s">
        <v>21</v>
      </c>
      <c r="U34" s="775">
        <f t="shared" si="13"/>
        <v>100</v>
      </c>
      <c r="V34" s="774" t="s">
        <v>21</v>
      </c>
      <c r="W34" s="775">
        <f t="shared" si="14"/>
        <v>100</v>
      </c>
      <c r="X34" s="1815"/>
      <c r="Y34" s="3209"/>
      <c r="Z34" s="1816" t="str">
        <f t="shared" si="18"/>
        <v>建筑结构</v>
      </c>
      <c r="AA34" s="1813">
        <f t="shared" si="15"/>
        <v>1</v>
      </c>
      <c r="AB34" s="1813">
        <f t="shared" si="16"/>
        <v>1</v>
      </c>
      <c r="AC34" s="1813">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07"/>
      <c r="Q35" s="1812" t="str">
        <f t="shared" si="11"/>
        <v>建筑品质</v>
      </c>
      <c r="R35" s="774" t="s">
        <v>21</v>
      </c>
      <c r="S35" s="775">
        <f t="shared" si="12"/>
        <v>100</v>
      </c>
      <c r="T35" s="774" t="s">
        <v>21</v>
      </c>
      <c r="U35" s="775">
        <f t="shared" si="13"/>
        <v>100</v>
      </c>
      <c r="V35" s="774" t="s">
        <v>21</v>
      </c>
      <c r="W35" s="775">
        <f t="shared" si="14"/>
        <v>100</v>
      </c>
      <c r="X35" s="1815"/>
      <c r="Y35" s="3209"/>
      <c r="Z35" s="1816" t="str">
        <f t="shared" si="18"/>
        <v>建筑品质</v>
      </c>
      <c r="AA35" s="1813">
        <f t="shared" si="15"/>
        <v>1</v>
      </c>
      <c r="AB35" s="1813">
        <f t="shared" si="16"/>
        <v>1</v>
      </c>
      <c r="AC35" s="1813">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07"/>
      <c r="Q36" s="1812" t="str">
        <f t="shared" si="11"/>
        <v>公共部分装修</v>
      </c>
      <c r="R36" s="774" t="s">
        <v>21</v>
      </c>
      <c r="S36" s="775">
        <f t="shared" si="12"/>
        <v>100</v>
      </c>
      <c r="T36" s="774" t="s">
        <v>21</v>
      </c>
      <c r="U36" s="775">
        <f t="shared" si="13"/>
        <v>100</v>
      </c>
      <c r="V36" s="774" t="s">
        <v>21</v>
      </c>
      <c r="W36" s="775">
        <f t="shared" si="14"/>
        <v>100</v>
      </c>
      <c r="X36" s="1815"/>
      <c r="Y36" s="3209"/>
      <c r="Z36" s="1816" t="str">
        <f t="shared" si="18"/>
        <v>公共部分装修</v>
      </c>
      <c r="AA36" s="1813">
        <f t="shared" si="15"/>
        <v>1</v>
      </c>
      <c r="AB36" s="1813">
        <f t="shared" si="16"/>
        <v>1</v>
      </c>
      <c r="AC36" s="181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7"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07" t="s">
        <v>2564</v>
      </c>
      <c r="Q38" s="1812" t="str">
        <f t="shared" si="11"/>
        <v>物业管理</v>
      </c>
      <c r="R38" s="774" t="s">
        <v>21</v>
      </c>
      <c r="S38" s="775">
        <f t="shared" si="12"/>
        <v>100</v>
      </c>
      <c r="T38" s="774" t="s">
        <v>21</v>
      </c>
      <c r="U38" s="775">
        <f t="shared" si="13"/>
        <v>100</v>
      </c>
      <c r="V38" s="774" t="s">
        <v>21</v>
      </c>
      <c r="W38" s="775">
        <f t="shared" si="14"/>
        <v>100</v>
      </c>
      <c r="X38" s="1815"/>
      <c r="Y38" s="3209" t="s">
        <v>2564</v>
      </c>
      <c r="Z38" s="1816" t="str">
        <f t="shared" si="18"/>
        <v>物业管理</v>
      </c>
      <c r="AA38" s="1813">
        <f t="shared" si="15"/>
        <v>1</v>
      </c>
      <c r="AB38" s="1813">
        <f t="shared" si="16"/>
        <v>1</v>
      </c>
      <c r="AC38" s="1813">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07"/>
      <c r="Q39" s="1812" t="str">
        <f t="shared" si="11"/>
        <v>市政基础设施</v>
      </c>
      <c r="R39" s="774" t="s">
        <v>21</v>
      </c>
      <c r="S39" s="775">
        <f t="shared" si="12"/>
        <v>100</v>
      </c>
      <c r="T39" s="774" t="s">
        <v>21</v>
      </c>
      <c r="U39" s="775">
        <f t="shared" si="13"/>
        <v>100</v>
      </c>
      <c r="V39" s="774" t="s">
        <v>21</v>
      </c>
      <c r="W39" s="775">
        <f t="shared" si="14"/>
        <v>100</v>
      </c>
      <c r="X39" s="1815"/>
      <c r="Y39" s="3209"/>
      <c r="Z39" s="1816" t="str">
        <f t="shared" si="18"/>
        <v>市政基础设施</v>
      </c>
      <c r="AA39" s="1813">
        <f t="shared" si="15"/>
        <v>1</v>
      </c>
      <c r="AB39" s="1813">
        <f t="shared" si="16"/>
        <v>1</v>
      </c>
      <c r="AC39" s="1813">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07"/>
      <c r="Q40" s="1812" t="str">
        <f t="shared" si="11"/>
        <v>房型</v>
      </c>
      <c r="R40" s="774" t="s">
        <v>21</v>
      </c>
      <c r="S40" s="775">
        <f t="shared" si="12"/>
        <v>100</v>
      </c>
      <c r="T40" s="774" t="s">
        <v>21</v>
      </c>
      <c r="U40" s="775">
        <f t="shared" si="13"/>
        <v>100</v>
      </c>
      <c r="V40" s="774" t="s">
        <v>21</v>
      </c>
      <c r="W40" s="775">
        <f t="shared" si="14"/>
        <v>100</v>
      </c>
      <c r="X40" s="1815"/>
      <c r="Y40" s="3209"/>
      <c r="Z40" s="1816" t="str">
        <f t="shared" si="18"/>
        <v>房型</v>
      </c>
      <c r="AA40" s="1813">
        <f t="shared" si="15"/>
        <v>1</v>
      </c>
      <c r="AB40" s="1813">
        <f t="shared" si="16"/>
        <v>1</v>
      </c>
      <c r="AC40" s="181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3">
        <f t="shared" si="15"/>
        <v>1</v>
      </c>
      <c r="AB41" s="1813">
        <f t="shared" si="16"/>
        <v>1</v>
      </c>
      <c r="AC41" s="1813">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07"/>
      <c r="Q42" s="1812" t="str">
        <f t="shared" si="11"/>
        <v>内部装修</v>
      </c>
      <c r="R42" s="774" t="s">
        <v>21</v>
      </c>
      <c r="S42" s="775">
        <f t="shared" si="12"/>
        <v>100</v>
      </c>
      <c r="T42" s="774" t="s">
        <v>21</v>
      </c>
      <c r="U42" s="775">
        <f t="shared" si="13"/>
        <v>100</v>
      </c>
      <c r="V42" s="774" t="s">
        <v>21</v>
      </c>
      <c r="W42" s="775">
        <f t="shared" si="14"/>
        <v>100</v>
      </c>
      <c r="X42" s="1815"/>
      <c r="Y42" s="3209"/>
      <c r="Z42" s="1816" t="str">
        <f t="shared" si="18"/>
        <v>内部装修</v>
      </c>
      <c r="AA42" s="1813">
        <f t="shared" si="15"/>
        <v>1</v>
      </c>
      <c r="AB42" s="1813">
        <f t="shared" si="16"/>
        <v>1</v>
      </c>
      <c r="AC42" s="1813">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07"/>
      <c r="Q43" s="1812" t="str">
        <f t="shared" si="11"/>
        <v>内部装修维护情况</v>
      </c>
      <c r="R43" s="774" t="s">
        <v>21</v>
      </c>
      <c r="S43" s="775">
        <f t="shared" si="12"/>
        <v>100</v>
      </c>
      <c r="T43" s="774" t="s">
        <v>21</v>
      </c>
      <c r="U43" s="775">
        <f t="shared" si="13"/>
        <v>100</v>
      </c>
      <c r="V43" s="774" t="s">
        <v>21</v>
      </c>
      <c r="W43" s="775">
        <f t="shared" si="14"/>
        <v>100</v>
      </c>
      <c r="X43" s="1815"/>
      <c r="Y43" s="320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07"/>
      <c r="Q44" s="1797">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07"/>
      <c r="Q45" s="1812">
        <f t="shared" si="11"/>
        <v>111</v>
      </c>
      <c r="R45" s="774" t="s">
        <v>21</v>
      </c>
      <c r="S45" s="775">
        <f t="shared" si="12"/>
        <v>100</v>
      </c>
      <c r="T45" s="774" t="s">
        <v>21</v>
      </c>
      <c r="U45" s="775">
        <f t="shared" si="13"/>
        <v>100</v>
      </c>
      <c r="V45" s="774" t="s">
        <v>21</v>
      </c>
      <c r="W45" s="775">
        <f t="shared" si="14"/>
        <v>100</v>
      </c>
      <c r="X45" s="1815"/>
      <c r="Y45" s="3209"/>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08"/>
      <c r="Q46" s="1812">
        <f t="shared" si="11"/>
        <v>111</v>
      </c>
      <c r="R46" s="774" t="s">
        <v>20</v>
      </c>
      <c r="S46" s="775">
        <f t="shared" si="12"/>
        <v>100</v>
      </c>
      <c r="T46" s="774" t="s">
        <v>20</v>
      </c>
      <c r="U46" s="775">
        <f t="shared" si="13"/>
        <v>100</v>
      </c>
      <c r="V46" s="774" t="s">
        <v>20</v>
      </c>
      <c r="W46" s="775">
        <f t="shared" si="14"/>
        <v>100</v>
      </c>
      <c r="X46" s="1815"/>
      <c r="Y46" s="3210"/>
      <c r="Z46" s="1816">
        <f t="shared" si="18"/>
        <v>111</v>
      </c>
      <c r="AA46" s="1813">
        <f t="shared" si="15"/>
        <v>1</v>
      </c>
      <c r="AB46" s="1813">
        <f t="shared" si="16"/>
        <v>1</v>
      </c>
      <c r="AC46" s="1813">
        <f t="shared" si="17"/>
        <v>1</v>
      </c>
    </row>
    <row r="47" spans="1:29" ht="15">
      <c r="A47" s="479" t="s">
        <v>2576</v>
      </c>
      <c r="B47" s="480"/>
      <c r="C47" s="1410" t="s">
        <v>19</v>
      </c>
      <c r="D47" s="1411"/>
      <c r="E47" s="1412"/>
      <c r="F47" s="1413"/>
      <c r="G47" s="1414"/>
      <c r="H47" s="1415"/>
      <c r="I47" s="1412"/>
      <c r="J47" s="1415"/>
      <c r="K47" s="2626"/>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7" t="s">
        <v>2641</v>
      </c>
      <c r="C1" s="1636" t="s">
        <v>2529</v>
      </c>
      <c r="D1" s="1623"/>
      <c r="E1" s="2662"/>
      <c r="F1" s="2589"/>
      <c r="G1" s="1633" t="s">
        <v>2642</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2329</v>
      </c>
      <c r="B2" s="1421" t="e">
        <f ca="1">IF(C2="——",ROUND(C49*D3/10000,0),ROUND(C49*D3/10000,0)-D2)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2331</v>
      </c>
      <c r="B3" s="609" t="e">
        <f ca="1">IF(C2="——",C49,ROUND(B2*10000/D3,0))</f>
        <v>#DIV/0!</v>
      </c>
      <c r="C3" s="400" t="s">
        <v>2643</v>
      </c>
      <c r="D3" s="399">
        <f>IF(D1="",'数据-汇总表'!E3,SUMIF('数据-汇总表'!$C19:$C33,D1,'数据-汇总表'!$E19:$E33))</f>
        <v>62915.380000000005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97" t="s">
        <v>2647</v>
      </c>
      <c r="AC4" s="3167" t="s">
        <v>2648</v>
      </c>
    </row>
    <row r="5" spans="1:29"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97"/>
      <c r="AC5" s="3168"/>
    </row>
    <row r="6" spans="1:29" ht="15.75" thickBot="1">
      <c r="A6" s="406"/>
      <c r="B6" s="407"/>
      <c r="C6" s="3180" t="s">
        <v>2545</v>
      </c>
      <c r="D6" s="3181"/>
      <c r="E6" s="3182" t="s">
        <v>2545</v>
      </c>
      <c r="F6" s="3183"/>
      <c r="G6" s="3180" t="s">
        <v>2545</v>
      </c>
      <c r="H6" s="3181"/>
      <c r="I6" s="3180" t="s">
        <v>2545</v>
      </c>
      <c r="J6" s="3181"/>
      <c r="K6" s="610" t="s">
        <v>2546</v>
      </c>
      <c r="L6" s="1133"/>
      <c r="M6" s="1134"/>
      <c r="N6" s="1134"/>
      <c r="O6" s="1134"/>
      <c r="P6" s="3193"/>
      <c r="Q6" s="3194"/>
      <c r="R6" s="3174"/>
      <c r="S6" s="3175"/>
      <c r="T6" s="3195"/>
      <c r="U6" s="3196"/>
      <c r="V6" s="3197"/>
      <c r="W6" s="3197"/>
      <c r="X6" s="1815"/>
      <c r="Y6" s="3195"/>
      <c r="Z6" s="3196"/>
      <c r="AA6" s="3169"/>
      <c r="AB6" s="3197"/>
      <c r="AC6" s="3169"/>
    </row>
    <row r="7" spans="1:29" s="117" customFormat="1" ht="15.75" thickBot="1">
      <c r="A7" s="408" t="s">
        <v>2547</v>
      </c>
      <c r="B7" s="409"/>
      <c r="C7" s="410">
        <f>'数据-取费表'!B2</f>
        <v>43487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0" t="s">
        <v>2551</v>
      </c>
      <c r="Q8" s="3171"/>
      <c r="R8" s="770" t="s">
        <v>17</v>
      </c>
      <c r="S8" s="771">
        <f t="shared" si="0"/>
        <v>0</v>
      </c>
      <c r="T8" s="770" t="s">
        <v>17</v>
      </c>
      <c r="U8" s="771">
        <f t="shared" si="1"/>
        <v>0</v>
      </c>
      <c r="V8" s="770" t="s">
        <v>17</v>
      </c>
      <c r="W8" s="771">
        <f t="shared" si="2"/>
        <v>0</v>
      </c>
      <c r="X8" s="772"/>
      <c r="Y8" s="3170" t="s">
        <v>2551</v>
      </c>
      <c r="Z8" s="317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2559</v>
      </c>
      <c r="Q15" s="1812" t="str">
        <f t="shared" si="6"/>
        <v>商业繁华度</v>
      </c>
      <c r="R15" s="774" t="s">
        <v>17</v>
      </c>
      <c r="S15" s="775">
        <f t="shared" si="0"/>
        <v>100</v>
      </c>
      <c r="T15" s="774" t="s">
        <v>17</v>
      </c>
      <c r="U15" s="775">
        <f t="shared" si="1"/>
        <v>100</v>
      </c>
      <c r="V15" s="774" t="s">
        <v>17</v>
      </c>
      <c r="W15" s="775">
        <f t="shared" si="2"/>
        <v>100</v>
      </c>
      <c r="X15" s="1815"/>
      <c r="Y15" s="3204"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2"/>
      <c r="Q16" s="1812"/>
      <c r="R16" s="774"/>
      <c r="S16" s="775"/>
      <c r="T16" s="774"/>
      <c r="U16" s="775"/>
      <c r="V16" s="774"/>
      <c r="W16" s="775"/>
      <c r="X16" s="1815"/>
      <c r="Y16" s="320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12"/>
      <c r="Q18" s="1812"/>
      <c r="R18" s="774"/>
      <c r="S18" s="775"/>
      <c r="T18" s="774"/>
      <c r="U18" s="775"/>
      <c r="V18" s="774"/>
      <c r="W18" s="775"/>
      <c r="X18" s="1815"/>
      <c r="Y18" s="3205"/>
      <c r="Z18" s="1816"/>
      <c r="AA18" s="1813">
        <v>1</v>
      </c>
      <c r="AB18" s="1813">
        <v>1</v>
      </c>
      <c r="AC18" s="1813">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2" t="str">
        <f>B19</f>
        <v>公共配套设施</v>
      </c>
      <c r="R19" s="774" t="s">
        <v>17</v>
      </c>
      <c r="S19" s="775">
        <f>F19</f>
        <v>100</v>
      </c>
      <c r="T19" s="774" t="s">
        <v>17</v>
      </c>
      <c r="U19" s="775">
        <f>H19</f>
        <v>100</v>
      </c>
      <c r="V19" s="774" t="s">
        <v>17</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12"/>
      <c r="Q20" s="1812"/>
      <c r="R20" s="774"/>
      <c r="S20" s="775"/>
      <c r="T20" s="774"/>
      <c r="U20" s="775"/>
      <c r="V20" s="774"/>
      <c r="W20" s="775"/>
      <c r="X20" s="1815"/>
      <c r="Y20" s="3205"/>
      <c r="Z20" s="1816"/>
      <c r="AA20" s="1813">
        <v>1</v>
      </c>
      <c r="AB20" s="1813">
        <v>1</v>
      </c>
      <c r="AC20" s="1813">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12"/>
      <c r="Q22" s="1812"/>
      <c r="R22" s="774"/>
      <c r="S22" s="775"/>
      <c r="T22" s="774"/>
      <c r="U22" s="775"/>
      <c r="V22" s="774"/>
      <c r="W22" s="775"/>
      <c r="X22" s="1815"/>
      <c r="Y22" s="3205"/>
      <c r="Z22" s="1816"/>
      <c r="AA22" s="1813">
        <v>1</v>
      </c>
      <c r="AB22" s="1813">
        <v>1</v>
      </c>
      <c r="AC22" s="1813">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2" t="str">
        <f>B23</f>
        <v>自然及人文环境</v>
      </c>
      <c r="R23" s="774" t="s">
        <v>17</v>
      </c>
      <c r="S23" s="775">
        <f>F23</f>
        <v>100</v>
      </c>
      <c r="T23" s="774" t="s">
        <v>17</v>
      </c>
      <c r="U23" s="775">
        <f>H23</f>
        <v>100</v>
      </c>
      <c r="V23" s="774" t="s">
        <v>17</v>
      </c>
      <c r="W23" s="775">
        <f>J23</f>
        <v>100</v>
      </c>
      <c r="X23" s="1815"/>
      <c r="Y23" s="3205"/>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12"/>
      <c r="Q24" s="1812"/>
      <c r="R24" s="774"/>
      <c r="S24" s="775"/>
      <c r="T24" s="774"/>
      <c r="U24" s="775"/>
      <c r="V24" s="774"/>
      <c r="W24" s="775"/>
      <c r="X24" s="1815"/>
      <c r="Y24" s="3205"/>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2" t="str">
        <f t="shared" ref="Q25:Q46" si="11">B25</f>
        <v>临街状况</v>
      </c>
      <c r="R25" s="774" t="s">
        <v>17</v>
      </c>
      <c r="S25" s="775">
        <f>F25</f>
        <v>100</v>
      </c>
      <c r="T25" s="774" t="s">
        <v>17</v>
      </c>
      <c r="U25" s="775">
        <f>H25</f>
        <v>100</v>
      </c>
      <c r="V25" s="774" t="s">
        <v>17</v>
      </c>
      <c r="W25" s="775">
        <f>J25</f>
        <v>100</v>
      </c>
      <c r="X25" s="1815"/>
      <c r="Y25" s="3205"/>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2" t="str">
        <f t="shared" si="11"/>
        <v>平面位置/可视性</v>
      </c>
      <c r="R26" s="774" t="s">
        <v>17</v>
      </c>
      <c r="S26" s="775">
        <f>F26</f>
        <v>100</v>
      </c>
      <c r="T26" s="774" t="s">
        <v>17</v>
      </c>
      <c r="U26" s="775">
        <f>H26</f>
        <v>100</v>
      </c>
      <c r="V26" s="774" t="s">
        <v>17</v>
      </c>
      <c r="W26" s="775">
        <f>J26</f>
        <v>100</v>
      </c>
      <c r="X26" s="1815"/>
      <c r="Y26" s="3205"/>
      <c r="Z26" s="1816" t="str">
        <f>Q26</f>
        <v>平面位置/可视性</v>
      </c>
      <c r="AA26" s="1813">
        <f t="shared" si="3"/>
        <v>1</v>
      </c>
      <c r="AB26" s="1813">
        <f t="shared" si="4"/>
        <v>1</v>
      </c>
      <c r="AC26" s="1813">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12"/>
      <c r="Q27" s="1797" t="str">
        <f t="shared" si="11"/>
        <v>人流量</v>
      </c>
      <c r="R27" s="770" t="s">
        <v>17</v>
      </c>
      <c r="S27" s="771">
        <f>F27</f>
        <v>100</v>
      </c>
      <c r="T27" s="770" t="s">
        <v>17</v>
      </c>
      <c r="U27" s="771">
        <f>H27</f>
        <v>100</v>
      </c>
      <c r="V27" s="770" t="s">
        <v>17</v>
      </c>
      <c r="W27" s="771">
        <f>J27</f>
        <v>100</v>
      </c>
      <c r="X27" s="772"/>
      <c r="Y27" s="3205"/>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2">
        <f t="shared" si="11"/>
        <v>111</v>
      </c>
      <c r="R29" s="774" t="s">
        <v>17</v>
      </c>
      <c r="S29" s="775">
        <f t="shared" si="12"/>
        <v>100</v>
      </c>
      <c r="T29" s="774" t="s">
        <v>17</v>
      </c>
      <c r="U29" s="775">
        <f t="shared" si="13"/>
        <v>100</v>
      </c>
      <c r="V29" s="774" t="s">
        <v>17</v>
      </c>
      <c r="W29" s="775">
        <f t="shared" si="14"/>
        <v>100</v>
      </c>
      <c r="X29" s="1815"/>
      <c r="Y29" s="320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2">
        <f t="shared" si="11"/>
        <v>111</v>
      </c>
      <c r="R30" s="774" t="s">
        <v>17</v>
      </c>
      <c r="S30" s="775">
        <f t="shared" si="12"/>
        <v>100</v>
      </c>
      <c r="T30" s="774" t="s">
        <v>17</v>
      </c>
      <c r="U30" s="775">
        <f t="shared" si="13"/>
        <v>100</v>
      </c>
      <c r="V30" s="774" t="s">
        <v>17</v>
      </c>
      <c r="W30" s="775">
        <f t="shared" si="14"/>
        <v>100</v>
      </c>
      <c r="X30" s="1815"/>
      <c r="Y30" s="320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2">
        <f t="shared" si="11"/>
        <v>111</v>
      </c>
      <c r="R31" s="774" t="s">
        <v>17</v>
      </c>
      <c r="S31" s="775">
        <f t="shared" si="12"/>
        <v>100</v>
      </c>
      <c r="T31" s="774" t="s">
        <v>17</v>
      </c>
      <c r="U31" s="775">
        <f t="shared" si="13"/>
        <v>100</v>
      </c>
      <c r="V31" s="774" t="s">
        <v>17</v>
      </c>
      <c r="W31" s="775">
        <f t="shared" si="14"/>
        <v>100</v>
      </c>
      <c r="X31" s="1815"/>
      <c r="Y31" s="3205"/>
      <c r="Z31" s="1816">
        <f t="shared" si="15"/>
        <v>111</v>
      </c>
      <c r="AA31" s="1813">
        <f t="shared" si="3"/>
        <v>1</v>
      </c>
      <c r="AB31" s="1813">
        <f t="shared" si="4"/>
        <v>1</v>
      </c>
      <c r="AC31" s="1813">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06" t="s">
        <v>2564</v>
      </c>
      <c r="Q32" s="1812" t="str">
        <f t="shared" si="11"/>
        <v>商业类型</v>
      </c>
      <c r="R32" s="774" t="s">
        <v>17</v>
      </c>
      <c r="S32" s="775">
        <f t="shared" si="12"/>
        <v>100</v>
      </c>
      <c r="T32" s="774" t="s">
        <v>17</v>
      </c>
      <c r="U32" s="775">
        <f t="shared" si="13"/>
        <v>100</v>
      </c>
      <c r="V32" s="774" t="s">
        <v>17</v>
      </c>
      <c r="W32" s="775">
        <f t="shared" si="14"/>
        <v>100</v>
      </c>
      <c r="X32" s="1815"/>
      <c r="Y32" s="3209"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3" t="e">
        <f t="shared" si="3"/>
        <v>#N/A</v>
      </c>
      <c r="AB33" s="1813" t="e">
        <f t="shared" si="4"/>
        <v>#N/A</v>
      </c>
      <c r="AC33" s="1813"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07"/>
      <c r="Q34" s="1812" t="str">
        <f t="shared" si="11"/>
        <v>建筑结构</v>
      </c>
      <c r="R34" s="774" t="s">
        <v>17</v>
      </c>
      <c r="S34" s="775">
        <f t="shared" si="12"/>
        <v>100</v>
      </c>
      <c r="T34" s="774" t="s">
        <v>17</v>
      </c>
      <c r="U34" s="775">
        <f t="shared" si="13"/>
        <v>100</v>
      </c>
      <c r="V34" s="774" t="s">
        <v>17</v>
      </c>
      <c r="W34" s="775">
        <f t="shared" si="14"/>
        <v>100</v>
      </c>
      <c r="X34" s="1815"/>
      <c r="Y34" s="3209"/>
      <c r="Z34" s="1816" t="str">
        <f t="shared" si="15"/>
        <v>建筑结构</v>
      </c>
      <c r="AA34" s="1813">
        <f t="shared" si="3"/>
        <v>1</v>
      </c>
      <c r="AB34" s="1813">
        <f t="shared" si="4"/>
        <v>1</v>
      </c>
      <c r="AC34" s="1813">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07"/>
      <c r="Q35" s="1812" t="str">
        <f t="shared" si="11"/>
        <v>公共部分装修</v>
      </c>
      <c r="R35" s="774" t="s">
        <v>17</v>
      </c>
      <c r="S35" s="775">
        <f t="shared" si="12"/>
        <v>100</v>
      </c>
      <c r="T35" s="774" t="s">
        <v>17</v>
      </c>
      <c r="U35" s="775">
        <f t="shared" si="13"/>
        <v>100</v>
      </c>
      <c r="V35" s="774" t="s">
        <v>17</v>
      </c>
      <c r="W35" s="775">
        <f t="shared" si="14"/>
        <v>100</v>
      </c>
      <c r="X35" s="1815"/>
      <c r="Y35" s="3209"/>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2" t="str">
        <f t="shared" si="11"/>
        <v>成新度</v>
      </c>
      <c r="R36" s="774" t="s">
        <v>17</v>
      </c>
      <c r="S36" s="775" t="e">
        <f t="shared" si="12"/>
        <v>#N/A</v>
      </c>
      <c r="T36" s="774" t="s">
        <v>17</v>
      </c>
      <c r="U36" s="775" t="e">
        <f t="shared" si="13"/>
        <v>#N/A</v>
      </c>
      <c r="V36" s="774" t="s">
        <v>17</v>
      </c>
      <c r="W36" s="775" t="e">
        <f t="shared" si="14"/>
        <v>#N/A</v>
      </c>
      <c r="X36" s="1815"/>
      <c r="Y36" s="3209"/>
      <c r="Z36" s="1816" t="str">
        <f t="shared" si="15"/>
        <v>成新度</v>
      </c>
      <c r="AA36" s="1813" t="e">
        <f t="shared" si="3"/>
        <v>#N/A</v>
      </c>
      <c r="AB36" s="1813" t="e">
        <f t="shared" si="4"/>
        <v>#N/A</v>
      </c>
      <c r="AC36" s="1813"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07"/>
      <c r="Q37" s="1797"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07" t="s">
        <v>2564</v>
      </c>
      <c r="Q38" s="1812" t="str">
        <f t="shared" si="11"/>
        <v>业态</v>
      </c>
      <c r="R38" s="774" t="s">
        <v>17</v>
      </c>
      <c r="S38" s="775">
        <f t="shared" si="12"/>
        <v>100</v>
      </c>
      <c r="T38" s="774" t="s">
        <v>17</v>
      </c>
      <c r="U38" s="775">
        <f t="shared" si="13"/>
        <v>100</v>
      </c>
      <c r="V38" s="774" t="s">
        <v>17</v>
      </c>
      <c r="W38" s="775">
        <f t="shared" si="14"/>
        <v>100</v>
      </c>
      <c r="X38" s="1815"/>
      <c r="Y38" s="3209" t="s">
        <v>2564</v>
      </c>
      <c r="Z38" s="1816" t="str">
        <f t="shared" si="15"/>
        <v>业态</v>
      </c>
      <c r="AA38" s="1813">
        <f t="shared" si="3"/>
        <v>1</v>
      </c>
      <c r="AB38" s="1813">
        <f t="shared" si="4"/>
        <v>1</v>
      </c>
      <c r="AC38" s="1813">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07"/>
      <c r="Q39" s="1812" t="str">
        <f t="shared" si="11"/>
        <v>层高</v>
      </c>
      <c r="R39" s="774" t="s">
        <v>17</v>
      </c>
      <c r="S39" s="775">
        <f t="shared" si="12"/>
        <v>100</v>
      </c>
      <c r="T39" s="774" t="s">
        <v>17</v>
      </c>
      <c r="U39" s="775">
        <f t="shared" si="13"/>
        <v>100</v>
      </c>
      <c r="V39" s="774" t="s">
        <v>17</v>
      </c>
      <c r="W39" s="775">
        <f t="shared" si="14"/>
        <v>100</v>
      </c>
      <c r="X39" s="1815"/>
      <c r="Y39" s="3209"/>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2" t="str">
        <f t="shared" si="11"/>
        <v>单套建筑面积</v>
      </c>
      <c r="R40" s="774" t="s">
        <v>17</v>
      </c>
      <c r="S40" s="775">
        <f t="shared" si="12"/>
        <v>100</v>
      </c>
      <c r="T40" s="774" t="s">
        <v>17</v>
      </c>
      <c r="U40" s="775">
        <f t="shared" si="13"/>
        <v>100</v>
      </c>
      <c r="V40" s="774" t="s">
        <v>17</v>
      </c>
      <c r="W40" s="775">
        <f t="shared" si="14"/>
        <v>100</v>
      </c>
      <c r="X40" s="1815"/>
      <c r="Y40" s="3209"/>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3">
        <f t="shared" si="3"/>
        <v>1</v>
      </c>
      <c r="AB41" s="1813">
        <f t="shared" si="4"/>
        <v>1</v>
      </c>
      <c r="AC41" s="1813">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07"/>
      <c r="Q42" s="1812" t="str">
        <f t="shared" si="11"/>
        <v>内部装修</v>
      </c>
      <c r="R42" s="774" t="s">
        <v>17</v>
      </c>
      <c r="S42" s="775">
        <f t="shared" si="12"/>
        <v>100</v>
      </c>
      <c r="T42" s="774" t="s">
        <v>17</v>
      </c>
      <c r="U42" s="775">
        <f t="shared" si="13"/>
        <v>100</v>
      </c>
      <c r="V42" s="774" t="s">
        <v>17</v>
      </c>
      <c r="W42" s="775">
        <f t="shared" si="14"/>
        <v>100</v>
      </c>
      <c r="X42" s="1815"/>
      <c r="Y42" s="3209"/>
      <c r="Z42" s="1816" t="str">
        <f t="shared" si="15"/>
        <v>内部装修</v>
      </c>
      <c r="AA42" s="1813">
        <f t="shared" si="3"/>
        <v>1</v>
      </c>
      <c r="AB42" s="1813">
        <f t="shared" si="4"/>
        <v>1</v>
      </c>
      <c r="AC42" s="1813">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07"/>
      <c r="Q43" s="1812" t="str">
        <f t="shared" si="11"/>
        <v>内部装修维护情况</v>
      </c>
      <c r="R43" s="774" t="s">
        <v>17</v>
      </c>
      <c r="S43" s="775">
        <f t="shared" si="12"/>
        <v>100</v>
      </c>
      <c r="T43" s="774" t="s">
        <v>17</v>
      </c>
      <c r="U43" s="775">
        <f t="shared" si="13"/>
        <v>100</v>
      </c>
      <c r="V43" s="774" t="s">
        <v>17</v>
      </c>
      <c r="W43" s="775">
        <f t="shared" si="14"/>
        <v>100</v>
      </c>
      <c r="X43" s="1815"/>
      <c r="Y43" s="320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7">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2">
        <f t="shared" si="11"/>
        <v>111</v>
      </c>
      <c r="R45" s="774" t="s">
        <v>17</v>
      </c>
      <c r="S45" s="775">
        <f t="shared" si="12"/>
        <v>100</v>
      </c>
      <c r="T45" s="774" t="s">
        <v>17</v>
      </c>
      <c r="U45" s="775">
        <f t="shared" si="13"/>
        <v>100</v>
      </c>
      <c r="V45" s="774" t="s">
        <v>17</v>
      </c>
      <c r="W45" s="775">
        <f t="shared" si="14"/>
        <v>100</v>
      </c>
      <c r="X45" s="1815"/>
      <c r="Y45" s="3209"/>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2">
        <f t="shared" si="11"/>
        <v>111</v>
      </c>
      <c r="R46" s="774" t="s">
        <v>17</v>
      </c>
      <c r="S46" s="775">
        <f t="shared" si="12"/>
        <v>100</v>
      </c>
      <c r="T46" s="774" t="s">
        <v>17</v>
      </c>
      <c r="U46" s="775">
        <f t="shared" si="13"/>
        <v>100</v>
      </c>
      <c r="V46" s="774" t="s">
        <v>17</v>
      </c>
      <c r="W46" s="775">
        <f t="shared" si="14"/>
        <v>100</v>
      </c>
      <c r="X46" s="1815"/>
      <c r="Y46" s="3210"/>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202" t="str">
        <f>A47</f>
        <v>成交单价（元/平方米）</v>
      </c>
      <c r="Q47" s="3202"/>
      <c r="R47" s="3197">
        <f>E47</f>
        <v>0</v>
      </c>
      <c r="S47" s="3197"/>
      <c r="T47" s="3197">
        <f>G47</f>
        <v>0</v>
      </c>
      <c r="U47" s="3197"/>
      <c r="V47" s="3197">
        <f>I47</f>
        <v>0</v>
      </c>
      <c r="W47" s="31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4" t="s">
        <v>2685</v>
      </c>
      <c r="C1" s="1622" t="s">
        <v>2529</v>
      </c>
      <c r="D1" s="1623"/>
      <c r="E1" s="1632"/>
      <c r="F1" s="2589"/>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IF(C2="——",ROUND(C50*D3/10000,0),ROUND(C50*D3/10000,0)-D2)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62915.380000000005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219" t="s">
        <v>2650</v>
      </c>
      <c r="Q4" s="3220"/>
      <c r="R4" s="3214" t="s">
        <v>2646</v>
      </c>
      <c r="S4" s="3215"/>
      <c r="T4" s="3214" t="s">
        <v>2647</v>
      </c>
      <c r="U4" s="3215"/>
      <c r="V4" s="3223" t="s">
        <v>2648</v>
      </c>
      <c r="W4" s="3223"/>
      <c r="X4" s="2675"/>
      <c r="Y4" s="3214" t="s">
        <v>2650</v>
      </c>
      <c r="Z4" s="3215"/>
      <c r="AA4" s="3213" t="s">
        <v>2646</v>
      </c>
      <c r="AB4" s="3213" t="s">
        <v>2647</v>
      </c>
      <c r="AC4" s="3216" t="s">
        <v>2648</v>
      </c>
    </row>
    <row r="5" spans="1:29" ht="15">
      <c r="A5" s="404"/>
      <c r="B5" s="405"/>
      <c r="C5" s="3178" t="s">
        <v>2541</v>
      </c>
      <c r="D5" s="3179"/>
      <c r="E5" s="3176" t="s">
        <v>2542</v>
      </c>
      <c r="F5" s="3177"/>
      <c r="G5" s="3178" t="s">
        <v>2543</v>
      </c>
      <c r="H5" s="3179"/>
      <c r="I5" s="3178" t="s">
        <v>2544</v>
      </c>
      <c r="J5" s="3179"/>
      <c r="K5" s="610"/>
      <c r="L5" s="1133"/>
      <c r="M5" s="1134"/>
      <c r="N5" s="1134"/>
      <c r="O5" s="1134"/>
      <c r="P5" s="3221"/>
      <c r="Q5" s="3192"/>
      <c r="R5" s="3174"/>
      <c r="S5" s="3175"/>
      <c r="T5" s="3174"/>
      <c r="U5" s="3175"/>
      <c r="V5" s="3197"/>
      <c r="W5" s="3197"/>
      <c r="X5" s="1815"/>
      <c r="Y5" s="3174"/>
      <c r="Z5" s="3175"/>
      <c r="AA5" s="3168"/>
      <c r="AB5" s="3168"/>
      <c r="AC5" s="3217"/>
    </row>
    <row r="6" spans="1:29" ht="15.75" thickBot="1">
      <c r="A6" s="406"/>
      <c r="B6" s="407"/>
      <c r="C6" s="3180" t="s">
        <v>2545</v>
      </c>
      <c r="D6" s="3181"/>
      <c r="E6" s="3182" t="s">
        <v>2545</v>
      </c>
      <c r="F6" s="3183"/>
      <c r="G6" s="3180" t="s">
        <v>2545</v>
      </c>
      <c r="H6" s="3181"/>
      <c r="I6" s="3180" t="s">
        <v>2545</v>
      </c>
      <c r="J6" s="3181"/>
      <c r="K6" s="610" t="s">
        <v>2546</v>
      </c>
      <c r="L6" s="1133"/>
      <c r="M6" s="1134"/>
      <c r="N6" s="1134"/>
      <c r="O6" s="1134"/>
      <c r="P6" s="3222"/>
      <c r="Q6" s="3194"/>
      <c r="R6" s="3174"/>
      <c r="S6" s="3175"/>
      <c r="T6" s="3195"/>
      <c r="U6" s="3196"/>
      <c r="V6" s="3197"/>
      <c r="W6" s="3197"/>
      <c r="X6" s="1815"/>
      <c r="Y6" s="3195"/>
      <c r="Z6" s="3196"/>
      <c r="AA6" s="3169"/>
      <c r="AB6" s="3169"/>
      <c r="AC6" s="3218"/>
    </row>
    <row r="7" spans="1:29" s="117" customFormat="1" ht="15.75" thickBot="1">
      <c r="A7" s="408" t="s">
        <v>2547</v>
      </c>
      <c r="B7" s="409"/>
      <c r="C7" s="410">
        <f>'数据-取费表'!B2</f>
        <v>43487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4"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4" t="s">
        <v>2551</v>
      </c>
      <c r="Q8" s="3171"/>
      <c r="R8" s="770" t="s">
        <v>17</v>
      </c>
      <c r="S8" s="771">
        <f t="shared" si="0"/>
        <v>0</v>
      </c>
      <c r="T8" s="770" t="s">
        <v>17</v>
      </c>
      <c r="U8" s="771">
        <f t="shared" si="1"/>
        <v>0</v>
      </c>
      <c r="V8" s="770" t="s">
        <v>17</v>
      </c>
      <c r="W8" s="771">
        <f t="shared" si="2"/>
        <v>0</v>
      </c>
      <c r="X8" s="772"/>
      <c r="Y8" s="3170" t="s">
        <v>2551</v>
      </c>
      <c r="Z8" s="3171"/>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2559</v>
      </c>
      <c r="Q15" s="1812" t="str">
        <f t="shared" si="6"/>
        <v>办公集聚程度</v>
      </c>
      <c r="R15" s="774" t="s">
        <v>17</v>
      </c>
      <c r="S15" s="775">
        <f t="shared" si="0"/>
        <v>100</v>
      </c>
      <c r="T15" s="774" t="s">
        <v>17</v>
      </c>
      <c r="U15" s="775">
        <f t="shared" si="1"/>
        <v>100</v>
      </c>
      <c r="V15" s="774" t="s">
        <v>17</v>
      </c>
      <c r="W15" s="775">
        <f t="shared" si="2"/>
        <v>100</v>
      </c>
      <c r="X15" s="1815"/>
      <c r="Y15" s="3204" t="s">
        <v>2559</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12"/>
      <c r="Q16" s="1812"/>
      <c r="R16" s="774"/>
      <c r="S16" s="775"/>
      <c r="T16" s="774"/>
      <c r="U16" s="775"/>
      <c r="V16" s="774"/>
      <c r="W16" s="775"/>
      <c r="X16" s="1815"/>
      <c r="Y16" s="3205"/>
      <c r="Z16" s="1816"/>
      <c r="AA16" s="1813">
        <v>1</v>
      </c>
      <c r="AB16" s="1813">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12"/>
      <c r="Q18" s="1812"/>
      <c r="R18" s="774"/>
      <c r="S18" s="775"/>
      <c r="T18" s="774"/>
      <c r="U18" s="775"/>
      <c r="V18" s="774"/>
      <c r="W18" s="775"/>
      <c r="X18" s="1815"/>
      <c r="Y18" s="3205"/>
      <c r="Z18" s="1816"/>
      <c r="AA18" s="1813">
        <v>1</v>
      </c>
      <c r="AB18" s="1813">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2" t="str">
        <f>B19</f>
        <v>公共配套设施</v>
      </c>
      <c r="R19" s="774" t="s">
        <v>17</v>
      </c>
      <c r="S19" s="775">
        <f>F19</f>
        <v>100</v>
      </c>
      <c r="T19" s="774" t="s">
        <v>17</v>
      </c>
      <c r="U19" s="775">
        <f>H19</f>
        <v>100</v>
      </c>
      <c r="V19" s="774" t="s">
        <v>17</v>
      </c>
      <c r="W19" s="775">
        <f>J19</f>
        <v>100</v>
      </c>
      <c r="X19" s="1815"/>
      <c r="Y19" s="3205"/>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12"/>
      <c r="Q20" s="1812"/>
      <c r="R20" s="774"/>
      <c r="S20" s="775"/>
      <c r="T20" s="774"/>
      <c r="U20" s="775"/>
      <c r="V20" s="774"/>
      <c r="W20" s="775"/>
      <c r="X20" s="1815"/>
      <c r="Y20" s="3205"/>
      <c r="Z20" s="1816"/>
      <c r="AA20" s="1813">
        <v>1</v>
      </c>
      <c r="AB20" s="1813">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12"/>
      <c r="Q22" s="1812"/>
      <c r="R22" s="774"/>
      <c r="S22" s="775"/>
      <c r="T22" s="774"/>
      <c r="U22" s="775"/>
      <c r="V22" s="774"/>
      <c r="W22" s="775"/>
      <c r="X22" s="1815"/>
      <c r="Y22" s="3205"/>
      <c r="Z22" s="1816"/>
      <c r="AA22" s="1813">
        <v>1</v>
      </c>
      <c r="AB22" s="1813">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2" t="str">
        <f>B23</f>
        <v>环境质量</v>
      </c>
      <c r="R23" s="774" t="s">
        <v>17</v>
      </c>
      <c r="S23" s="775">
        <f>F23</f>
        <v>100</v>
      </c>
      <c r="T23" s="774" t="s">
        <v>17</v>
      </c>
      <c r="U23" s="775">
        <f>H23</f>
        <v>100</v>
      </c>
      <c r="V23" s="774" t="s">
        <v>17</v>
      </c>
      <c r="W23" s="775">
        <f>J23</f>
        <v>100</v>
      </c>
      <c r="X23" s="1815"/>
      <c r="Y23" s="3205"/>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12"/>
      <c r="Q24" s="1812"/>
      <c r="R24" s="774"/>
      <c r="S24" s="775"/>
      <c r="T24" s="774"/>
      <c r="U24" s="775"/>
      <c r="V24" s="774"/>
      <c r="W24" s="775"/>
      <c r="X24" s="1815"/>
      <c r="Y24" s="3205"/>
      <c r="Z24" s="1816"/>
      <c r="AA24" s="1813">
        <v>1</v>
      </c>
      <c r="AB24" s="1813">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12"/>
      <c r="Q25" s="1812" t="str">
        <f>B25</f>
        <v>毗邻道路的类型与等级</v>
      </c>
      <c r="R25" s="774" t="s">
        <v>17</v>
      </c>
      <c r="S25" s="775">
        <f>F25</f>
        <v>100</v>
      </c>
      <c r="T25" s="774" t="s">
        <v>17</v>
      </c>
      <c r="U25" s="775">
        <f>H25</f>
        <v>100</v>
      </c>
      <c r="V25" s="774" t="s">
        <v>17</v>
      </c>
      <c r="W25" s="775">
        <f>J25</f>
        <v>100</v>
      </c>
      <c r="X25" s="1815"/>
      <c r="Y25" s="3205"/>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12"/>
      <c r="Q26" s="1812"/>
      <c r="R26" s="774"/>
      <c r="S26" s="775"/>
      <c r="T26" s="774"/>
      <c r="U26" s="775"/>
      <c r="V26" s="774"/>
      <c r="W26" s="775"/>
      <c r="X26" s="1815"/>
      <c r="Y26" s="3205"/>
      <c r="Z26" s="1816"/>
      <c r="AA26" s="1813">
        <v>1</v>
      </c>
      <c r="AB26" s="1813">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2" t="str">
        <f t="shared" ref="Q27:Q47" si="11">B27</f>
        <v>楼层</v>
      </c>
      <c r="R27" s="774" t="s">
        <v>17</v>
      </c>
      <c r="S27" s="775">
        <f>F27</f>
        <v>100</v>
      </c>
      <c r="T27" s="774" t="s">
        <v>17</v>
      </c>
      <c r="U27" s="775">
        <f>H27</f>
        <v>100</v>
      </c>
      <c r="V27" s="774" t="s">
        <v>17</v>
      </c>
      <c r="W27" s="775">
        <f>J27</f>
        <v>100</v>
      </c>
      <c r="X27" s="1815"/>
      <c r="Y27" s="3205"/>
      <c r="Z27" s="1816" t="str">
        <f>Q27</f>
        <v>楼层</v>
      </c>
      <c r="AA27" s="1813">
        <f t="shared" si="3"/>
        <v>1</v>
      </c>
      <c r="AB27" s="1813">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12"/>
      <c r="Q28" s="1797" t="str">
        <f t="shared" si="11"/>
        <v>朝向</v>
      </c>
      <c r="R28" s="770" t="s">
        <v>17</v>
      </c>
      <c r="S28" s="771">
        <f>F28</f>
        <v>100</v>
      </c>
      <c r="T28" s="770" t="s">
        <v>17</v>
      </c>
      <c r="U28" s="771">
        <f>H28</f>
        <v>100</v>
      </c>
      <c r="V28" s="770" t="s">
        <v>17</v>
      </c>
      <c r="W28" s="771">
        <f>J28</f>
        <v>100</v>
      </c>
      <c r="X28" s="772"/>
      <c r="Y28" s="3205"/>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12"/>
      <c r="Q29" s="1812">
        <f t="shared" si="11"/>
        <v>111</v>
      </c>
      <c r="R29" s="774" t="s">
        <v>17</v>
      </c>
      <c r="S29" s="775">
        <f t="shared" ref="S29:S47" si="12">F29</f>
        <v>100</v>
      </c>
      <c r="T29" s="774" t="s">
        <v>17</v>
      </c>
      <c r="U29" s="775">
        <f t="shared" ref="U29:U47" si="13">H29</f>
        <v>100</v>
      </c>
      <c r="V29" s="774" t="s">
        <v>17</v>
      </c>
      <c r="W29" s="775">
        <f t="shared" ref="W29:W47" si="14">J29</f>
        <v>100</v>
      </c>
      <c r="X29" s="1815"/>
      <c r="Y29" s="3205"/>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12"/>
      <c r="Q30" s="1812">
        <f t="shared" si="11"/>
        <v>111</v>
      </c>
      <c r="R30" s="774" t="s">
        <v>17</v>
      </c>
      <c r="S30" s="775">
        <f t="shared" si="12"/>
        <v>100</v>
      </c>
      <c r="T30" s="774" t="s">
        <v>17</v>
      </c>
      <c r="U30" s="775">
        <f t="shared" si="13"/>
        <v>100</v>
      </c>
      <c r="V30" s="774" t="s">
        <v>17</v>
      </c>
      <c r="W30" s="775">
        <f t="shared" si="14"/>
        <v>100</v>
      </c>
      <c r="X30" s="1815"/>
      <c r="Y30" s="3205"/>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12"/>
      <c r="Q31" s="1812">
        <f t="shared" si="11"/>
        <v>111</v>
      </c>
      <c r="R31" s="774" t="s">
        <v>17</v>
      </c>
      <c r="S31" s="775">
        <f t="shared" si="12"/>
        <v>100</v>
      </c>
      <c r="T31" s="774" t="s">
        <v>17</v>
      </c>
      <c r="U31" s="775">
        <f t="shared" si="13"/>
        <v>100</v>
      </c>
      <c r="V31" s="774" t="s">
        <v>17</v>
      </c>
      <c r="W31" s="775">
        <f t="shared" si="14"/>
        <v>100</v>
      </c>
      <c r="X31" s="1815"/>
      <c r="Y31" s="3205"/>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12"/>
      <c r="Q32" s="1812">
        <f t="shared" si="11"/>
        <v>111</v>
      </c>
      <c r="R32" s="774" t="s">
        <v>17</v>
      </c>
      <c r="S32" s="775">
        <f t="shared" si="12"/>
        <v>100</v>
      </c>
      <c r="T32" s="774" t="s">
        <v>17</v>
      </c>
      <c r="U32" s="775">
        <f t="shared" si="13"/>
        <v>100</v>
      </c>
      <c r="V32" s="774" t="s">
        <v>17</v>
      </c>
      <c r="W32" s="775">
        <f t="shared" si="14"/>
        <v>100</v>
      </c>
      <c r="X32" s="1815"/>
      <c r="Y32" s="3205"/>
      <c r="Z32" s="1816">
        <f t="shared" si="15"/>
        <v>111</v>
      </c>
      <c r="AA32" s="1813">
        <f t="shared" si="3"/>
        <v>1</v>
      </c>
      <c r="AB32" s="1813">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06" t="s">
        <v>2564</v>
      </c>
      <c r="Q33" s="1812" t="str">
        <f t="shared" si="11"/>
        <v>建筑类型</v>
      </c>
      <c r="R33" s="774" t="s">
        <v>17</v>
      </c>
      <c r="S33" s="775">
        <f t="shared" si="12"/>
        <v>100</v>
      </c>
      <c r="T33" s="774" t="s">
        <v>17</v>
      </c>
      <c r="U33" s="775">
        <f t="shared" si="13"/>
        <v>100</v>
      </c>
      <c r="V33" s="774" t="s">
        <v>17</v>
      </c>
      <c r="W33" s="775">
        <f t="shared" si="14"/>
        <v>100</v>
      </c>
      <c r="X33" s="1815"/>
      <c r="Y33" s="3209" t="s">
        <v>2564</v>
      </c>
      <c r="Z33" s="1816" t="str">
        <f t="shared" si="15"/>
        <v>建筑类型</v>
      </c>
      <c r="AA33" s="1813">
        <f t="shared" si="3"/>
        <v>1</v>
      </c>
      <c r="AB33" s="1813">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3" t="e">
        <f t="shared" si="3"/>
        <v>#N/A</v>
      </c>
      <c r="AB34" s="1813"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2" t="str">
        <f t="shared" si="11"/>
        <v>建筑结构</v>
      </c>
      <c r="R35" s="774" t="s">
        <v>17</v>
      </c>
      <c r="S35" s="775">
        <f t="shared" si="12"/>
        <v>100</v>
      </c>
      <c r="T35" s="774" t="s">
        <v>17</v>
      </c>
      <c r="U35" s="775">
        <f t="shared" si="13"/>
        <v>100</v>
      </c>
      <c r="V35" s="774" t="s">
        <v>17</v>
      </c>
      <c r="W35" s="775">
        <f t="shared" si="14"/>
        <v>100</v>
      </c>
      <c r="X35" s="1815"/>
      <c r="Y35" s="3209"/>
      <c r="Z35" s="1816" t="str">
        <f t="shared" si="15"/>
        <v>建筑结构</v>
      </c>
      <c r="AA35" s="1813">
        <f t="shared" si="3"/>
        <v>1</v>
      </c>
      <c r="AB35" s="1813">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2" t="str">
        <f t="shared" si="11"/>
        <v>公共部分装修</v>
      </c>
      <c r="R36" s="774" t="s">
        <v>17</v>
      </c>
      <c r="S36" s="775">
        <f t="shared" si="12"/>
        <v>100</v>
      </c>
      <c r="T36" s="774" t="s">
        <v>17</v>
      </c>
      <c r="U36" s="775">
        <f t="shared" si="13"/>
        <v>100</v>
      </c>
      <c r="V36" s="774" t="s">
        <v>17</v>
      </c>
      <c r="W36" s="775">
        <f t="shared" si="14"/>
        <v>100</v>
      </c>
      <c r="X36" s="1815"/>
      <c r="Y36" s="3209"/>
      <c r="Z36" s="1816" t="str">
        <f t="shared" si="15"/>
        <v>公共部分装修</v>
      </c>
      <c r="AA36" s="1813">
        <f t="shared" si="3"/>
        <v>1</v>
      </c>
      <c r="AB36" s="1813">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2" t="str">
        <f t="shared" si="11"/>
        <v>成新度</v>
      </c>
      <c r="R37" s="774" t="s">
        <v>17</v>
      </c>
      <c r="S37" s="775" t="e">
        <f t="shared" si="12"/>
        <v>#N/A</v>
      </c>
      <c r="T37" s="774" t="s">
        <v>17</v>
      </c>
      <c r="U37" s="775" t="e">
        <f t="shared" si="13"/>
        <v>#N/A</v>
      </c>
      <c r="V37" s="774" t="s">
        <v>17</v>
      </c>
      <c r="W37" s="775" t="e">
        <f t="shared" si="14"/>
        <v>#N/A</v>
      </c>
      <c r="X37" s="1815"/>
      <c r="Y37" s="3209"/>
      <c r="Z37" s="1816" t="str">
        <f t="shared" si="15"/>
        <v>成新度</v>
      </c>
      <c r="AA37" s="1813" t="e">
        <f t="shared" si="3"/>
        <v>#N/A</v>
      </c>
      <c r="AB37" s="1813"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7"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2564</v>
      </c>
      <c r="Q39" s="1812" t="str">
        <f t="shared" si="11"/>
        <v>物业管理</v>
      </c>
      <c r="R39" s="774" t="s">
        <v>17</v>
      </c>
      <c r="S39" s="775">
        <f t="shared" si="12"/>
        <v>100</v>
      </c>
      <c r="T39" s="774" t="s">
        <v>17</v>
      </c>
      <c r="U39" s="775">
        <f t="shared" si="13"/>
        <v>100</v>
      </c>
      <c r="V39" s="774" t="s">
        <v>17</v>
      </c>
      <c r="W39" s="775">
        <f t="shared" si="14"/>
        <v>100</v>
      </c>
      <c r="X39" s="1815"/>
      <c r="Y39" s="3209" t="s">
        <v>2564</v>
      </c>
      <c r="Z39" s="1816" t="str">
        <f t="shared" si="15"/>
        <v>物业管理</v>
      </c>
      <c r="AA39" s="1813">
        <f t="shared" si="3"/>
        <v>1</v>
      </c>
      <c r="AB39" s="1813">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2" t="str">
        <f t="shared" si="11"/>
        <v>市政基础设施</v>
      </c>
      <c r="R40" s="774" t="s">
        <v>17</v>
      </c>
      <c r="S40" s="775">
        <f t="shared" si="12"/>
        <v>100</v>
      </c>
      <c r="T40" s="774" t="s">
        <v>17</v>
      </c>
      <c r="U40" s="775">
        <f t="shared" si="13"/>
        <v>100</v>
      </c>
      <c r="V40" s="774" t="s">
        <v>17</v>
      </c>
      <c r="W40" s="775">
        <f t="shared" si="14"/>
        <v>100</v>
      </c>
      <c r="X40" s="1815"/>
      <c r="Y40" s="3209"/>
      <c r="Z40" s="1816" t="str">
        <f t="shared" si="15"/>
        <v>市政基础设施</v>
      </c>
      <c r="AA40" s="1813">
        <f t="shared" si="3"/>
        <v>1</v>
      </c>
      <c r="AB40" s="1813">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2" t="str">
        <f t="shared" si="11"/>
        <v>层高</v>
      </c>
      <c r="R41" s="774" t="s">
        <v>17</v>
      </c>
      <c r="S41" s="775">
        <f t="shared" si="12"/>
        <v>100</v>
      </c>
      <c r="T41" s="774" t="s">
        <v>17</v>
      </c>
      <c r="U41" s="775">
        <f t="shared" si="13"/>
        <v>100</v>
      </c>
      <c r="V41" s="774" t="s">
        <v>17</v>
      </c>
      <c r="W41" s="775">
        <f t="shared" si="14"/>
        <v>100</v>
      </c>
      <c r="X41" s="1815"/>
      <c r="Y41" s="3209"/>
      <c r="Z41" s="1816" t="str">
        <f t="shared" si="15"/>
        <v>层高</v>
      </c>
      <c r="AA41" s="1813">
        <f t="shared" si="3"/>
        <v>1</v>
      </c>
      <c r="AB41" s="1813">
        <f t="shared" si="4"/>
        <v>1</v>
      </c>
      <c r="AC41" s="2679">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3">
        <f t="shared" si="3"/>
        <v>1</v>
      </c>
      <c r="AB42" s="1813">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2" t="str">
        <f t="shared" si="11"/>
        <v>内部装修</v>
      </c>
      <c r="R43" s="774" t="s">
        <v>17</v>
      </c>
      <c r="S43" s="775">
        <f t="shared" si="12"/>
        <v>100</v>
      </c>
      <c r="T43" s="774" t="s">
        <v>17</v>
      </c>
      <c r="U43" s="775">
        <f t="shared" si="13"/>
        <v>100</v>
      </c>
      <c r="V43" s="774" t="s">
        <v>17</v>
      </c>
      <c r="W43" s="775">
        <f t="shared" si="14"/>
        <v>100</v>
      </c>
      <c r="X43" s="1815"/>
      <c r="Y43" s="3209"/>
      <c r="Z43" s="1816" t="str">
        <f t="shared" si="15"/>
        <v>内部装修</v>
      </c>
      <c r="AA43" s="1813">
        <f t="shared" si="3"/>
        <v>1</v>
      </c>
      <c r="AB43" s="1813">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07"/>
      <c r="Q44" s="1812" t="str">
        <f t="shared" si="11"/>
        <v>内部装修维护情况</v>
      </c>
      <c r="R44" s="774" t="s">
        <v>17</v>
      </c>
      <c r="S44" s="775">
        <f t="shared" si="12"/>
        <v>100</v>
      </c>
      <c r="T44" s="774" t="s">
        <v>17</v>
      </c>
      <c r="U44" s="775">
        <f t="shared" si="13"/>
        <v>100</v>
      </c>
      <c r="V44" s="774" t="s">
        <v>17</v>
      </c>
      <c r="W44" s="775">
        <f t="shared" si="14"/>
        <v>100</v>
      </c>
      <c r="X44" s="1815"/>
      <c r="Y44" s="3209"/>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7">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2">
        <f t="shared" si="11"/>
        <v>111</v>
      </c>
      <c r="R47" s="774" t="s">
        <v>17</v>
      </c>
      <c r="S47" s="775">
        <f t="shared" si="12"/>
        <v>100</v>
      </c>
      <c r="T47" s="774" t="s">
        <v>17</v>
      </c>
      <c r="U47" s="775">
        <f t="shared" si="13"/>
        <v>100</v>
      </c>
      <c r="V47" s="774" t="s">
        <v>17</v>
      </c>
      <c r="W47" s="775">
        <f t="shared" si="14"/>
        <v>100</v>
      </c>
      <c r="X47" s="1815"/>
      <c r="Y47" s="3210"/>
      <c r="Z47" s="1816">
        <f t="shared" si="15"/>
        <v>111</v>
      </c>
      <c r="AA47" s="1813">
        <f t="shared" si="3"/>
        <v>1</v>
      </c>
      <c r="AB47" s="1813">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4" t="s">
        <v>2701</v>
      </c>
      <c r="C1" s="1622" t="s">
        <v>2529</v>
      </c>
      <c r="D1" s="1623"/>
      <c r="E1" s="1632"/>
      <c r="F1" s="2589"/>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IF(C2="——",ROUND(C43*D3/10000,0),ROUND(C43*D3/10000,0)-D2)</f>
        <v>#DIV/0!</v>
      </c>
      <c r="C2" s="2591"/>
      <c r="D2" s="1127"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62915.380000000005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3"/>
      <c r="M6" s="1134"/>
      <c r="N6" s="1134"/>
      <c r="O6" s="1134"/>
      <c r="P6" s="3193"/>
      <c r="Q6" s="3194"/>
      <c r="R6" s="3174"/>
      <c r="S6" s="3175"/>
      <c r="T6" s="3195"/>
      <c r="U6" s="3196"/>
      <c r="V6" s="3197"/>
      <c r="W6" s="3197"/>
      <c r="X6" s="1815"/>
      <c r="Y6" s="3195"/>
      <c r="Z6" s="3196"/>
      <c r="AA6" s="3169"/>
      <c r="AB6" s="3169"/>
      <c r="AC6" s="3169"/>
    </row>
    <row r="7" spans="1:29" s="117" customFormat="1" ht="15.75" thickBot="1">
      <c r="A7" s="408" t="s">
        <v>2547</v>
      </c>
      <c r="B7" s="409"/>
      <c r="C7" s="410">
        <f>'数据-取费表'!B2</f>
        <v>43487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0" t="s">
        <v>2551</v>
      </c>
      <c r="Q8" s="3171"/>
      <c r="R8" s="770" t="s">
        <v>17</v>
      </c>
      <c r="S8" s="771">
        <f t="shared" si="0"/>
        <v>0</v>
      </c>
      <c r="T8" s="770" t="s">
        <v>17</v>
      </c>
      <c r="U8" s="771">
        <f t="shared" si="1"/>
        <v>0</v>
      </c>
      <c r="V8" s="770" t="s">
        <v>17</v>
      </c>
      <c r="W8" s="771">
        <f t="shared" si="2"/>
        <v>0</v>
      </c>
      <c r="X8" s="772"/>
      <c r="Y8" s="3170" t="s">
        <v>2551</v>
      </c>
      <c r="Z8" s="317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2559</v>
      </c>
      <c r="Q15" s="1812" t="str">
        <f t="shared" si="6"/>
        <v>产业集聚程度</v>
      </c>
      <c r="R15" s="774" t="s">
        <v>17</v>
      </c>
      <c r="S15" s="775">
        <f t="shared" si="0"/>
        <v>100</v>
      </c>
      <c r="T15" s="774" t="s">
        <v>17</v>
      </c>
      <c r="U15" s="775">
        <f t="shared" si="1"/>
        <v>100</v>
      </c>
      <c r="V15" s="774" t="s">
        <v>17</v>
      </c>
      <c r="W15" s="775">
        <f t="shared" si="2"/>
        <v>100</v>
      </c>
      <c r="X15" s="1815"/>
      <c r="Y15" s="3204"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5"/>
      <c r="Q16" s="1812"/>
      <c r="R16" s="774"/>
      <c r="S16" s="775"/>
      <c r="T16" s="774"/>
      <c r="U16" s="775"/>
      <c r="V16" s="774"/>
      <c r="W16" s="775"/>
      <c r="X16" s="1815"/>
      <c r="Y16" s="3205"/>
      <c r="Z16" s="1816"/>
      <c r="AA16" s="1813">
        <v>1</v>
      </c>
      <c r="AB16" s="1813">
        <v>1</v>
      </c>
      <c r="AC16" s="1813">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5"/>
      <c r="Q18" s="1812"/>
      <c r="R18" s="774"/>
      <c r="S18" s="775"/>
      <c r="T18" s="774"/>
      <c r="U18" s="775"/>
      <c r="V18" s="774"/>
      <c r="W18" s="775"/>
      <c r="X18" s="1815"/>
      <c r="Y18" s="3205"/>
      <c r="Z18" s="1816"/>
      <c r="AA18" s="1813">
        <v>1</v>
      </c>
      <c r="AB18" s="1813">
        <v>1</v>
      </c>
      <c r="AC18" s="1813">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2" t="str">
        <f>B19</f>
        <v>公共配套设施</v>
      </c>
      <c r="R19" s="774" t="s">
        <v>17</v>
      </c>
      <c r="S19" s="775">
        <f>F19</f>
        <v>100</v>
      </c>
      <c r="T19" s="774" t="s">
        <v>17</v>
      </c>
      <c r="U19" s="775">
        <f>H19</f>
        <v>100</v>
      </c>
      <c r="V19" s="774" t="s">
        <v>17</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5"/>
      <c r="Q20" s="1812"/>
      <c r="R20" s="774"/>
      <c r="S20" s="775"/>
      <c r="T20" s="774"/>
      <c r="U20" s="775"/>
      <c r="V20" s="774"/>
      <c r="W20" s="775"/>
      <c r="X20" s="1815"/>
      <c r="Y20" s="3205"/>
      <c r="Z20" s="1816"/>
      <c r="AA20" s="1813">
        <v>1</v>
      </c>
      <c r="AB20" s="1813">
        <v>1</v>
      </c>
      <c r="AC20" s="1813">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05"/>
      <c r="Q22" s="1812"/>
      <c r="R22" s="774"/>
      <c r="S22" s="775"/>
      <c r="T22" s="774"/>
      <c r="U22" s="775"/>
      <c r="V22" s="774"/>
      <c r="W22" s="775"/>
      <c r="X22" s="1815"/>
      <c r="Y22" s="3205"/>
      <c r="Z22" s="1816"/>
      <c r="AA22" s="1813">
        <v>1</v>
      </c>
      <c r="AB22" s="1813">
        <v>1</v>
      </c>
      <c r="AC22" s="1813">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2" t="str">
        <f>B23</f>
        <v>环境质量</v>
      </c>
      <c r="R23" s="774" t="s">
        <v>17</v>
      </c>
      <c r="S23" s="775">
        <f>F23</f>
        <v>100</v>
      </c>
      <c r="T23" s="774" t="s">
        <v>17</v>
      </c>
      <c r="U23" s="775">
        <f>H23</f>
        <v>100</v>
      </c>
      <c r="V23" s="774" t="s">
        <v>17</v>
      </c>
      <c r="W23" s="775">
        <f>J23</f>
        <v>100</v>
      </c>
      <c r="X23" s="1815"/>
      <c r="Y23" s="3205"/>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05"/>
      <c r="Q24" s="1812"/>
      <c r="R24" s="774"/>
      <c r="S24" s="775"/>
      <c r="T24" s="774"/>
      <c r="U24" s="775"/>
      <c r="V24" s="774"/>
      <c r="W24" s="775"/>
      <c r="X24" s="1815"/>
      <c r="Y24" s="320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2">
        <f>B25</f>
        <v>111</v>
      </c>
      <c r="R25" s="774" t="s">
        <v>17</v>
      </c>
      <c r="S25" s="775">
        <f>F25</f>
        <v>100</v>
      </c>
      <c r="T25" s="774" t="s">
        <v>17</v>
      </c>
      <c r="U25" s="775">
        <f>H25</f>
        <v>100</v>
      </c>
      <c r="V25" s="774" t="s">
        <v>17</v>
      </c>
      <c r="W25" s="775">
        <f>J25</f>
        <v>100</v>
      </c>
      <c r="X25" s="1815"/>
      <c r="Y25" s="320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2">
        <f t="shared" ref="Q26:Q40" si="11">B26</f>
        <v>111</v>
      </c>
      <c r="R26" s="774" t="s">
        <v>17</v>
      </c>
      <c r="S26" s="775">
        <f>F26</f>
        <v>100</v>
      </c>
      <c r="T26" s="774" t="s">
        <v>17</v>
      </c>
      <c r="U26" s="775">
        <f>H26</f>
        <v>100</v>
      </c>
      <c r="V26" s="774" t="s">
        <v>17</v>
      </c>
      <c r="W26" s="775">
        <f>J26</f>
        <v>100</v>
      </c>
      <c r="X26" s="1815"/>
      <c r="Y26" s="320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7">
        <f t="shared" si="11"/>
        <v>111</v>
      </c>
      <c r="R27" s="770" t="s">
        <v>17</v>
      </c>
      <c r="S27" s="771">
        <f>F27</f>
        <v>100</v>
      </c>
      <c r="T27" s="770" t="s">
        <v>17</v>
      </c>
      <c r="U27" s="771">
        <f>H27</f>
        <v>100</v>
      </c>
      <c r="V27" s="770" t="s">
        <v>17</v>
      </c>
      <c r="W27" s="771">
        <f>J27</f>
        <v>100</v>
      </c>
      <c r="X27" s="772"/>
      <c r="Y27" s="320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2">
        <f t="shared" si="11"/>
        <v>111</v>
      </c>
      <c r="R28" s="774" t="s">
        <v>17</v>
      </c>
      <c r="S28" s="775">
        <f t="shared" ref="S28:S40" si="12">F28</f>
        <v>100</v>
      </c>
      <c r="T28" s="774" t="s">
        <v>17</v>
      </c>
      <c r="U28" s="775">
        <f t="shared" ref="U28:U40" si="13">H28</f>
        <v>100</v>
      </c>
      <c r="V28" s="774" t="s">
        <v>17</v>
      </c>
      <c r="W28" s="775">
        <f t="shared" ref="W28:W40" si="14">J28</f>
        <v>100</v>
      </c>
      <c r="X28" s="1815"/>
      <c r="Y28" s="3205"/>
      <c r="Z28" s="1816">
        <f t="shared" ref="Z28:Z40" si="15">Q28</f>
        <v>111</v>
      </c>
      <c r="AA28" s="1813">
        <f t="shared" si="3"/>
        <v>1</v>
      </c>
      <c r="AB28" s="1813">
        <f t="shared" si="4"/>
        <v>1</v>
      </c>
      <c r="AC28" s="1813">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8" t="s">
        <v>2564</v>
      </c>
      <c r="Q29" s="1812" t="str">
        <f t="shared" si="11"/>
        <v>建筑类型</v>
      </c>
      <c r="R29" s="774" t="s">
        <v>17</v>
      </c>
      <c r="S29" s="775">
        <f t="shared" si="12"/>
        <v>100</v>
      </c>
      <c r="T29" s="774" t="s">
        <v>17</v>
      </c>
      <c r="U29" s="775">
        <f t="shared" si="13"/>
        <v>100</v>
      </c>
      <c r="V29" s="774" t="s">
        <v>17</v>
      </c>
      <c r="W29" s="775">
        <f t="shared" si="14"/>
        <v>100</v>
      </c>
      <c r="X29" s="1815"/>
      <c r="Y29" s="3209"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2" t="str">
        <f t="shared" si="11"/>
        <v>建筑结构</v>
      </c>
      <c r="R31" s="774" t="s">
        <v>17</v>
      </c>
      <c r="S31" s="775">
        <f t="shared" si="12"/>
        <v>100</v>
      </c>
      <c r="T31" s="774" t="s">
        <v>17</v>
      </c>
      <c r="U31" s="775">
        <f t="shared" si="13"/>
        <v>100</v>
      </c>
      <c r="V31" s="774" t="s">
        <v>17</v>
      </c>
      <c r="W31" s="775">
        <f t="shared" si="14"/>
        <v>100</v>
      </c>
      <c r="X31" s="1815"/>
      <c r="Y31" s="3209"/>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2" t="str">
        <f t="shared" si="11"/>
        <v>公共部分装修</v>
      </c>
      <c r="R32" s="774" t="s">
        <v>17</v>
      </c>
      <c r="S32" s="775">
        <f t="shared" si="12"/>
        <v>100</v>
      </c>
      <c r="T32" s="774" t="s">
        <v>17</v>
      </c>
      <c r="U32" s="775">
        <f t="shared" si="13"/>
        <v>100</v>
      </c>
      <c r="V32" s="774" t="s">
        <v>17</v>
      </c>
      <c r="W32" s="775">
        <f t="shared" si="14"/>
        <v>100</v>
      </c>
      <c r="X32" s="1815"/>
      <c r="Y32" s="3209"/>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2" t="str">
        <f t="shared" si="11"/>
        <v>成新度</v>
      </c>
      <c r="R33" s="774" t="s">
        <v>17</v>
      </c>
      <c r="S33" s="775" t="e">
        <f t="shared" si="12"/>
        <v>#N/A</v>
      </c>
      <c r="T33" s="774" t="s">
        <v>17</v>
      </c>
      <c r="U33" s="775" t="e">
        <f t="shared" si="13"/>
        <v>#N/A</v>
      </c>
      <c r="V33" s="774" t="s">
        <v>17</v>
      </c>
      <c r="W33" s="775" t="e">
        <f t="shared" si="14"/>
        <v>#N/A</v>
      </c>
      <c r="X33" s="1815"/>
      <c r="Y33" s="3209"/>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7"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2564</v>
      </c>
      <c r="Q35" s="1812" t="str">
        <f t="shared" si="11"/>
        <v>市政基础设施</v>
      </c>
      <c r="R35" s="774" t="s">
        <v>17</v>
      </c>
      <c r="S35" s="775">
        <f t="shared" si="12"/>
        <v>100</v>
      </c>
      <c r="T35" s="774" t="s">
        <v>17</v>
      </c>
      <c r="U35" s="775">
        <f t="shared" si="13"/>
        <v>100</v>
      </c>
      <c r="V35" s="774" t="s">
        <v>17</v>
      </c>
      <c r="W35" s="775">
        <f t="shared" si="14"/>
        <v>100</v>
      </c>
      <c r="X35" s="1815"/>
      <c r="Y35" s="3209"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2" t="str">
        <f t="shared" si="11"/>
        <v>内部装修</v>
      </c>
      <c r="R36" s="774" t="s">
        <v>17</v>
      </c>
      <c r="S36" s="775">
        <f t="shared" si="12"/>
        <v>100</v>
      </c>
      <c r="T36" s="774" t="s">
        <v>17</v>
      </c>
      <c r="U36" s="775">
        <f t="shared" si="13"/>
        <v>100</v>
      </c>
      <c r="V36" s="774" t="s">
        <v>17</v>
      </c>
      <c r="W36" s="775">
        <f t="shared" si="14"/>
        <v>100</v>
      </c>
      <c r="X36" s="1815"/>
      <c r="Y36" s="3209"/>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2" t="str">
        <f t="shared" si="11"/>
        <v>内部装修状况</v>
      </c>
      <c r="R37" s="774" t="s">
        <v>17</v>
      </c>
      <c r="S37" s="775">
        <f t="shared" si="12"/>
        <v>100</v>
      </c>
      <c r="T37" s="774" t="s">
        <v>17</v>
      </c>
      <c r="U37" s="775">
        <f t="shared" si="13"/>
        <v>100</v>
      </c>
      <c r="V37" s="774" t="s">
        <v>17</v>
      </c>
      <c r="W37" s="775">
        <f t="shared" si="14"/>
        <v>100</v>
      </c>
      <c r="X37" s="1815"/>
      <c r="Y37" s="320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2">
        <f t="shared" si="11"/>
        <v>111</v>
      </c>
      <c r="R39" s="774" t="s">
        <v>17</v>
      </c>
      <c r="S39" s="775">
        <f t="shared" si="12"/>
        <v>100</v>
      </c>
      <c r="T39" s="774" t="s">
        <v>17</v>
      </c>
      <c r="U39" s="775">
        <f t="shared" si="13"/>
        <v>100</v>
      </c>
      <c r="V39" s="774" t="s">
        <v>17</v>
      </c>
      <c r="W39" s="775">
        <f t="shared" si="14"/>
        <v>100</v>
      </c>
      <c r="X39" s="1815"/>
      <c r="Y39" s="3209"/>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2">
        <f t="shared" si="11"/>
        <v>111</v>
      </c>
      <c r="R40" s="774" t="s">
        <v>17</v>
      </c>
      <c r="S40" s="775">
        <f t="shared" si="12"/>
        <v>100</v>
      </c>
      <c r="T40" s="774" t="s">
        <v>17</v>
      </c>
      <c r="U40" s="775">
        <f t="shared" si="13"/>
        <v>100</v>
      </c>
      <c r="V40" s="774" t="s">
        <v>17</v>
      </c>
      <c r="W40" s="775">
        <f t="shared" si="14"/>
        <v>100</v>
      </c>
      <c r="X40" s="1815"/>
      <c r="Y40" s="3210"/>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估价对象为出让国有建设用地使用权及在建建筑物房地产，为所有。根据《国有土地使用证》[]，估价对象（分摊）出让国有建设用地使用权面积为16031.32平方米，建筑面积为62915.38平方米。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16031.32平方米，规划建筑面积为62915.38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2019年1月22日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9"/>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2329</v>
      </c>
      <c r="B2" s="1421" t="e">
        <f ca="1">IF(C2="——",IF(B37="元/平方米",ROUND(C39*D3/10000,0),ROUND(F3*C39/10000,0)),IF(B37="元/平方米",ROUND(C39*D3/10000,0),ROUND(F3*C39/10000,0))-D2)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3"/>
      <c r="M6" s="1134"/>
      <c r="N6" s="1134"/>
      <c r="O6" s="1134"/>
      <c r="P6" s="3193"/>
      <c r="Q6" s="3194"/>
      <c r="R6" s="3174"/>
      <c r="S6" s="3175"/>
      <c r="T6" s="3195"/>
      <c r="U6" s="3196"/>
      <c r="V6" s="3197"/>
      <c r="W6" s="3197"/>
      <c r="X6" s="1815"/>
      <c r="Y6" s="3195"/>
      <c r="Z6" s="3196"/>
      <c r="AA6" s="3169"/>
      <c r="AB6" s="3169"/>
      <c r="AC6" s="3169"/>
    </row>
    <row r="7" spans="1:29" s="117" customFormat="1" ht="15.75" thickBot="1">
      <c r="A7" s="408" t="s">
        <v>2547</v>
      </c>
      <c r="B7" s="409"/>
      <c r="C7" s="410">
        <f>'数据-取费表'!B2</f>
        <v>43487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0" t="s">
        <v>2548</v>
      </c>
      <c r="Q7" s="3198"/>
      <c r="R7" s="770" t="s">
        <v>17</v>
      </c>
      <c r="S7" s="771">
        <f t="shared" ref="S7:S14" si="0">F7</f>
        <v>0</v>
      </c>
      <c r="T7" s="770" t="s">
        <v>17</v>
      </c>
      <c r="U7" s="771">
        <f t="shared" ref="U7:U14" si="1">H7</f>
        <v>0</v>
      </c>
      <c r="V7" s="770" t="s">
        <v>17</v>
      </c>
      <c r="W7" s="771">
        <f t="shared" ref="W7:W14" si="2">J7</f>
        <v>0</v>
      </c>
      <c r="X7" s="772"/>
      <c r="Y7" s="3170" t="s">
        <v>2548</v>
      </c>
      <c r="Z7" s="317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0" t="s">
        <v>2551</v>
      </c>
      <c r="Q8" s="3171"/>
      <c r="R8" s="770" t="s">
        <v>17</v>
      </c>
      <c r="S8" s="771">
        <f t="shared" si="0"/>
        <v>0</v>
      </c>
      <c r="T8" s="770" t="s">
        <v>17</v>
      </c>
      <c r="U8" s="771">
        <f t="shared" si="1"/>
        <v>0</v>
      </c>
      <c r="V8" s="770" t="s">
        <v>17</v>
      </c>
      <c r="W8" s="771">
        <f t="shared" si="2"/>
        <v>0</v>
      </c>
      <c r="X8" s="772"/>
      <c r="Y8" s="3170" t="s">
        <v>2551</v>
      </c>
      <c r="Z8" s="317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2554</v>
      </c>
      <c r="Q9" s="1797"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2559</v>
      </c>
      <c r="Q14" s="1812" t="str">
        <f t="shared" si="6"/>
        <v>交通便捷度</v>
      </c>
      <c r="R14" s="774" t="s">
        <v>17</v>
      </c>
      <c r="S14" s="775">
        <f t="shared" si="0"/>
        <v>100</v>
      </c>
      <c r="T14" s="774" t="s">
        <v>17</v>
      </c>
      <c r="U14" s="775">
        <f t="shared" si="1"/>
        <v>100</v>
      </c>
      <c r="V14" s="774" t="s">
        <v>17</v>
      </c>
      <c r="W14" s="775">
        <f t="shared" si="2"/>
        <v>100</v>
      </c>
      <c r="X14" s="1815"/>
      <c r="Y14" s="3204"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5"/>
      <c r="Q15" s="1812"/>
      <c r="R15" s="774"/>
      <c r="S15" s="775"/>
      <c r="T15" s="774"/>
      <c r="U15" s="775"/>
      <c r="V15" s="774"/>
      <c r="W15" s="775"/>
      <c r="X15" s="1815"/>
      <c r="Y15" s="3205"/>
      <c r="Z15" s="1816"/>
      <c r="AA15" s="1813">
        <v>1</v>
      </c>
      <c r="AB15" s="1813">
        <v>1</v>
      </c>
      <c r="AC15" s="1813">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2" t="str">
        <f>B16</f>
        <v>公共配套设施</v>
      </c>
      <c r="R16" s="774" t="s">
        <v>17</v>
      </c>
      <c r="S16" s="775">
        <f>F16</f>
        <v>100</v>
      </c>
      <c r="T16" s="774" t="s">
        <v>17</v>
      </c>
      <c r="U16" s="775">
        <f>H16</f>
        <v>100</v>
      </c>
      <c r="V16" s="774" t="s">
        <v>17</v>
      </c>
      <c r="W16" s="775">
        <f>J16</f>
        <v>100</v>
      </c>
      <c r="X16" s="1815"/>
      <c r="Y16" s="3205"/>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5"/>
      <c r="Q17" s="1812"/>
      <c r="R17" s="774"/>
      <c r="S17" s="775"/>
      <c r="T17" s="774"/>
      <c r="U17" s="775"/>
      <c r="V17" s="774"/>
      <c r="W17" s="775"/>
      <c r="X17" s="1815"/>
      <c r="Y17" s="3205"/>
      <c r="Z17" s="1816"/>
      <c r="AA17" s="1813">
        <v>1</v>
      </c>
      <c r="AB17" s="1813">
        <v>1</v>
      </c>
      <c r="AC17" s="1813">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2" t="str">
        <f>B18</f>
        <v>基础设施水平</v>
      </c>
      <c r="R18" s="774" t="s">
        <v>17</v>
      </c>
      <c r="S18" s="775">
        <f>F18</f>
        <v>100</v>
      </c>
      <c r="T18" s="774" t="s">
        <v>17</v>
      </c>
      <c r="U18" s="775">
        <f>H18</f>
        <v>100</v>
      </c>
      <c r="V18" s="774" t="s">
        <v>17</v>
      </c>
      <c r="W18" s="775">
        <f>J18</f>
        <v>100</v>
      </c>
      <c r="X18" s="1815"/>
      <c r="Y18" s="3205"/>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05"/>
      <c r="Q19" s="1812"/>
      <c r="R19" s="774"/>
      <c r="S19" s="775"/>
      <c r="T19" s="774"/>
      <c r="U19" s="775"/>
      <c r="V19" s="774"/>
      <c r="W19" s="775"/>
      <c r="X19" s="1815"/>
      <c r="Y19" s="3205"/>
      <c r="Z19" s="1816"/>
      <c r="AA19" s="1813">
        <v>1</v>
      </c>
      <c r="AB19" s="1813">
        <v>1</v>
      </c>
      <c r="AC19" s="1813">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2" t="str">
        <f>B20</f>
        <v>自然及人文环境</v>
      </c>
      <c r="R20" s="774" t="s">
        <v>17</v>
      </c>
      <c r="S20" s="775">
        <f>F20</f>
        <v>100</v>
      </c>
      <c r="T20" s="774" t="s">
        <v>17</v>
      </c>
      <c r="U20" s="775">
        <f>H20</f>
        <v>100</v>
      </c>
      <c r="V20" s="774" t="s">
        <v>17</v>
      </c>
      <c r="W20" s="775">
        <f>J20</f>
        <v>100</v>
      </c>
      <c r="X20" s="1815"/>
      <c r="Y20" s="320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5"/>
      <c r="Q21" s="1812"/>
      <c r="R21" s="774"/>
      <c r="S21" s="775"/>
      <c r="T21" s="774"/>
      <c r="U21" s="775"/>
      <c r="V21" s="774"/>
      <c r="W21" s="775"/>
      <c r="X21" s="1815"/>
      <c r="Y21" s="3205"/>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2" t="str">
        <f>B22</f>
        <v>楼层</v>
      </c>
      <c r="R22" s="774" t="s">
        <v>17</v>
      </c>
      <c r="S22" s="775">
        <f>F22</f>
        <v>100</v>
      </c>
      <c r="T22" s="774" t="s">
        <v>17</v>
      </c>
      <c r="U22" s="775">
        <f>H22</f>
        <v>100</v>
      </c>
      <c r="V22" s="774" t="s">
        <v>17</v>
      </c>
      <c r="W22" s="775">
        <f>J22</f>
        <v>100</v>
      </c>
      <c r="X22" s="1815"/>
      <c r="Y22" s="320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2">
        <f>B23</f>
        <v>111</v>
      </c>
      <c r="R23" s="774" t="s">
        <v>17</v>
      </c>
      <c r="S23" s="775">
        <f>F23</f>
        <v>100</v>
      </c>
      <c r="T23" s="774" t="s">
        <v>17</v>
      </c>
      <c r="U23" s="775">
        <f>H23</f>
        <v>100</v>
      </c>
      <c r="V23" s="774" t="s">
        <v>17</v>
      </c>
      <c r="W23" s="775">
        <f>J23</f>
        <v>100</v>
      </c>
      <c r="X23" s="1815"/>
      <c r="Y23" s="320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2">
        <f t="shared" ref="Q24:Q36" si="11">B24</f>
        <v>111</v>
      </c>
      <c r="R24" s="774" t="s">
        <v>17</v>
      </c>
      <c r="S24" s="775">
        <f>F24</f>
        <v>100</v>
      </c>
      <c r="T24" s="774" t="s">
        <v>17</v>
      </c>
      <c r="U24" s="775">
        <f>H24</f>
        <v>100</v>
      </c>
      <c r="V24" s="774" t="s">
        <v>17</v>
      </c>
      <c r="W24" s="775">
        <f>J24</f>
        <v>100</v>
      </c>
      <c r="X24" s="1815"/>
      <c r="Y24" s="320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7">
        <f t="shared" si="11"/>
        <v>111</v>
      </c>
      <c r="R25" s="770" t="s">
        <v>17</v>
      </c>
      <c r="S25" s="771">
        <f>F25</f>
        <v>100</v>
      </c>
      <c r="T25" s="770" t="s">
        <v>17</v>
      </c>
      <c r="U25" s="771">
        <f>H25</f>
        <v>100</v>
      </c>
      <c r="V25" s="770" t="s">
        <v>17</v>
      </c>
      <c r="W25" s="771">
        <f>J25</f>
        <v>100</v>
      </c>
      <c r="X25" s="772"/>
      <c r="Y25" s="3205"/>
      <c r="Z25" s="55">
        <f>Q25</f>
        <v>111</v>
      </c>
      <c r="AA25" s="1813">
        <f>D25/F25</f>
        <v>1</v>
      </c>
      <c r="AB25" s="1813">
        <f>D25/H25</f>
        <v>1</v>
      </c>
      <c r="AC25" s="1813">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9"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2" t="str">
        <f t="shared" si="11"/>
        <v>公共部分装修</v>
      </c>
      <c r="R28" s="774" t="s">
        <v>17</v>
      </c>
      <c r="S28" s="775">
        <f t="shared" si="12"/>
        <v>100</v>
      </c>
      <c r="T28" s="774" t="s">
        <v>17</v>
      </c>
      <c r="U28" s="775">
        <f t="shared" si="13"/>
        <v>100</v>
      </c>
      <c r="V28" s="774" t="s">
        <v>17</v>
      </c>
      <c r="W28" s="775">
        <f t="shared" si="14"/>
        <v>100</v>
      </c>
      <c r="X28" s="1815"/>
      <c r="Y28" s="3209"/>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2" t="str">
        <f t="shared" si="11"/>
        <v>成新率</v>
      </c>
      <c r="R29" s="774" t="s">
        <v>17</v>
      </c>
      <c r="S29" s="775" t="e">
        <f t="shared" si="12"/>
        <v>#N/A</v>
      </c>
      <c r="T29" s="774" t="s">
        <v>17</v>
      </c>
      <c r="U29" s="775" t="e">
        <f t="shared" si="13"/>
        <v>#N/A</v>
      </c>
      <c r="V29" s="774" t="s">
        <v>17</v>
      </c>
      <c r="W29" s="775" t="e">
        <f t="shared" si="14"/>
        <v>#N/A</v>
      </c>
      <c r="X29" s="1815"/>
      <c r="Y29" s="3209"/>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2" t="str">
        <f t="shared" si="11"/>
        <v>物业等级</v>
      </c>
      <c r="R30" s="774" t="s">
        <v>17</v>
      </c>
      <c r="S30" s="775">
        <f t="shared" si="12"/>
        <v>100</v>
      </c>
      <c r="T30" s="774" t="s">
        <v>17</v>
      </c>
      <c r="U30" s="775">
        <f t="shared" si="13"/>
        <v>100</v>
      </c>
      <c r="V30" s="774" t="s">
        <v>17</v>
      </c>
      <c r="W30" s="775">
        <f t="shared" si="14"/>
        <v>100</v>
      </c>
      <c r="X30" s="1815"/>
      <c r="Y30" s="3209"/>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7"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2564</v>
      </c>
      <c r="Q32" s="1812" t="str">
        <f t="shared" si="11"/>
        <v>车位类型</v>
      </c>
      <c r="R32" s="774" t="s">
        <v>17</v>
      </c>
      <c r="S32" s="775">
        <f t="shared" si="12"/>
        <v>100</v>
      </c>
      <c r="T32" s="774" t="s">
        <v>17</v>
      </c>
      <c r="U32" s="775">
        <f t="shared" si="13"/>
        <v>100</v>
      </c>
      <c r="V32" s="774" t="s">
        <v>17</v>
      </c>
      <c r="W32" s="775">
        <f t="shared" si="14"/>
        <v>100</v>
      </c>
      <c r="X32" s="1815"/>
      <c r="Y32" s="3209"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2" t="str">
        <f t="shared" si="11"/>
        <v>是否直接入户</v>
      </c>
      <c r="R33" s="774" t="s">
        <v>17</v>
      </c>
      <c r="S33" s="775">
        <f t="shared" si="12"/>
        <v>100</v>
      </c>
      <c r="T33" s="774" t="s">
        <v>17</v>
      </c>
      <c r="U33" s="775">
        <f t="shared" si="13"/>
        <v>100</v>
      </c>
      <c r="V33" s="774" t="s">
        <v>17</v>
      </c>
      <c r="W33" s="775">
        <f t="shared" si="14"/>
        <v>100</v>
      </c>
      <c r="X33" s="1815"/>
      <c r="Y33" s="320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2">
        <f t="shared" si="11"/>
        <v>111</v>
      </c>
      <c r="R36" s="774" t="s">
        <v>17</v>
      </c>
      <c r="S36" s="775">
        <f t="shared" si="12"/>
        <v>100</v>
      </c>
      <c r="T36" s="774" t="s">
        <v>17</v>
      </c>
      <c r="U36" s="775">
        <f t="shared" si="13"/>
        <v>100</v>
      </c>
      <c r="V36" s="774" t="s">
        <v>17</v>
      </c>
      <c r="W36" s="775">
        <f t="shared" si="14"/>
        <v>100</v>
      </c>
      <c r="X36" s="1815"/>
      <c r="Y36" s="3209"/>
      <c r="Z36" s="1816">
        <f t="shared" si="15"/>
        <v>111</v>
      </c>
      <c r="AA36" s="1813">
        <f t="shared" si="3"/>
        <v>1</v>
      </c>
      <c r="AB36" s="1813">
        <f t="shared" si="4"/>
        <v>1</v>
      </c>
      <c r="AC36" s="1813">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9"/>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IF(C2="——",ROUND(C37*D3/10000,0),ROUND(C37*D3/10000,0)-D2)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3"/>
      <c r="M6" s="1134"/>
      <c r="N6" s="1134"/>
      <c r="O6" s="1134"/>
      <c r="P6" s="3193"/>
      <c r="Q6" s="3194"/>
      <c r="R6" s="3174"/>
      <c r="S6" s="3175"/>
      <c r="T6" s="3195"/>
      <c r="U6" s="3196"/>
      <c r="V6" s="3197"/>
      <c r="W6" s="3197"/>
      <c r="X6" s="1815"/>
      <c r="Y6" s="3195"/>
      <c r="Z6" s="3196"/>
      <c r="AA6" s="3169"/>
      <c r="AB6" s="3169"/>
      <c r="AC6" s="3169"/>
    </row>
    <row r="7" spans="1:29" s="117" customFormat="1" ht="15.75" thickBot="1">
      <c r="A7" s="408" t="s">
        <v>2547</v>
      </c>
      <c r="B7" s="409"/>
      <c r="C7" s="410">
        <f>'数据-取费表'!B2</f>
        <v>43487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0" t="s">
        <v>2548</v>
      </c>
      <c r="Q7" s="3198"/>
      <c r="R7" s="770" t="s">
        <v>17</v>
      </c>
      <c r="S7" s="771">
        <f t="shared" ref="S7:S14" si="0">F7</f>
        <v>0</v>
      </c>
      <c r="T7" s="770" t="s">
        <v>17</v>
      </c>
      <c r="U7" s="771">
        <f t="shared" ref="U7:U14" si="1">H7</f>
        <v>0</v>
      </c>
      <c r="V7" s="770" t="s">
        <v>17</v>
      </c>
      <c r="W7" s="771">
        <f t="shared" ref="W7:W14" si="2">J7</f>
        <v>0</v>
      </c>
      <c r="X7" s="772"/>
      <c r="Y7" s="3170" t="s">
        <v>2548</v>
      </c>
      <c r="Z7" s="317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0" t="s">
        <v>2551</v>
      </c>
      <c r="Q8" s="3171"/>
      <c r="R8" s="770" t="s">
        <v>17</v>
      </c>
      <c r="S8" s="771">
        <f t="shared" si="0"/>
        <v>0</v>
      </c>
      <c r="T8" s="770" t="s">
        <v>17</v>
      </c>
      <c r="U8" s="771">
        <f t="shared" si="1"/>
        <v>0</v>
      </c>
      <c r="V8" s="770" t="s">
        <v>17</v>
      </c>
      <c r="W8" s="771">
        <f t="shared" si="2"/>
        <v>0</v>
      </c>
      <c r="X8" s="772"/>
      <c r="Y8" s="3170" t="s">
        <v>2551</v>
      </c>
      <c r="Z8" s="317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2554</v>
      </c>
      <c r="Q9" s="1797"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7"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7">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2559</v>
      </c>
      <c r="Q14" s="1812" t="str">
        <f t="shared" si="6"/>
        <v>交通便捷度</v>
      </c>
      <c r="R14" s="774" t="s">
        <v>17</v>
      </c>
      <c r="S14" s="775">
        <f t="shared" si="0"/>
        <v>100</v>
      </c>
      <c r="T14" s="774" t="s">
        <v>17</v>
      </c>
      <c r="U14" s="775">
        <f t="shared" si="1"/>
        <v>100</v>
      </c>
      <c r="V14" s="774" t="s">
        <v>17</v>
      </c>
      <c r="W14" s="775">
        <f t="shared" si="2"/>
        <v>100</v>
      </c>
      <c r="X14" s="1815"/>
      <c r="Y14" s="3204"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5"/>
      <c r="Q15" s="1812"/>
      <c r="R15" s="774"/>
      <c r="S15" s="775"/>
      <c r="T15" s="774"/>
      <c r="U15" s="775"/>
      <c r="V15" s="774"/>
      <c r="W15" s="775"/>
      <c r="X15" s="1815"/>
      <c r="Y15" s="3205"/>
      <c r="Z15" s="1816"/>
      <c r="AA15" s="1813">
        <v>1</v>
      </c>
      <c r="AB15" s="1813">
        <v>1</v>
      </c>
      <c r="AC15" s="1813">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2" t="str">
        <f>B16</f>
        <v>公共配套设施</v>
      </c>
      <c r="R16" s="774" t="s">
        <v>17</v>
      </c>
      <c r="S16" s="775">
        <f>F16</f>
        <v>100</v>
      </c>
      <c r="T16" s="774" t="s">
        <v>17</v>
      </c>
      <c r="U16" s="775">
        <f>H16</f>
        <v>100</v>
      </c>
      <c r="V16" s="774" t="s">
        <v>17</v>
      </c>
      <c r="W16" s="775">
        <f>J16</f>
        <v>100</v>
      </c>
      <c r="X16" s="1815"/>
      <c r="Y16" s="3205"/>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5"/>
      <c r="Q17" s="1812"/>
      <c r="R17" s="774"/>
      <c r="S17" s="775"/>
      <c r="T17" s="774"/>
      <c r="U17" s="775"/>
      <c r="V17" s="774"/>
      <c r="W17" s="775"/>
      <c r="X17" s="1815"/>
      <c r="Y17" s="3205"/>
      <c r="Z17" s="1816"/>
      <c r="AA17" s="1813">
        <v>1</v>
      </c>
      <c r="AB17" s="1813">
        <v>1</v>
      </c>
      <c r="AC17" s="1813">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2" t="str">
        <f>B18</f>
        <v>基础设施水平</v>
      </c>
      <c r="R18" s="774" t="s">
        <v>17</v>
      </c>
      <c r="S18" s="775">
        <f>F18</f>
        <v>100</v>
      </c>
      <c r="T18" s="774" t="s">
        <v>17</v>
      </c>
      <c r="U18" s="775">
        <f>H18</f>
        <v>100</v>
      </c>
      <c r="V18" s="774" t="s">
        <v>17</v>
      </c>
      <c r="W18" s="775">
        <f>J18</f>
        <v>100</v>
      </c>
      <c r="X18" s="1815"/>
      <c r="Y18" s="3205"/>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05"/>
      <c r="Q19" s="1812"/>
      <c r="R19" s="774"/>
      <c r="S19" s="775"/>
      <c r="T19" s="774"/>
      <c r="U19" s="775"/>
      <c r="V19" s="774"/>
      <c r="W19" s="775"/>
      <c r="X19" s="1815"/>
      <c r="Y19" s="3205"/>
      <c r="Z19" s="1816"/>
      <c r="AA19" s="1813">
        <v>1</v>
      </c>
      <c r="AB19" s="1813">
        <v>1</v>
      </c>
      <c r="AC19" s="1813">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2" t="str">
        <f>B20</f>
        <v>自然及人文环境</v>
      </c>
      <c r="R20" s="774" t="s">
        <v>17</v>
      </c>
      <c r="S20" s="775">
        <f>F20</f>
        <v>100</v>
      </c>
      <c r="T20" s="774" t="s">
        <v>17</v>
      </c>
      <c r="U20" s="775">
        <f>H20</f>
        <v>100</v>
      </c>
      <c r="V20" s="774" t="s">
        <v>17</v>
      </c>
      <c r="W20" s="775">
        <f>J20</f>
        <v>100</v>
      </c>
      <c r="X20" s="1815"/>
      <c r="Y20" s="320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5"/>
      <c r="Q21" s="1812"/>
      <c r="R21" s="774"/>
      <c r="S21" s="775"/>
      <c r="T21" s="774"/>
      <c r="U21" s="775"/>
      <c r="V21" s="774"/>
      <c r="W21" s="775"/>
      <c r="X21" s="1815"/>
      <c r="Y21" s="3205"/>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2" t="str">
        <f>B22</f>
        <v>楼层</v>
      </c>
      <c r="R22" s="774" t="s">
        <v>17</v>
      </c>
      <c r="S22" s="775">
        <f>F22</f>
        <v>100</v>
      </c>
      <c r="T22" s="774" t="s">
        <v>17</v>
      </c>
      <c r="U22" s="775">
        <f>H22</f>
        <v>100</v>
      </c>
      <c r="V22" s="774" t="s">
        <v>17</v>
      </c>
      <c r="W22" s="775">
        <f>J22</f>
        <v>100</v>
      </c>
      <c r="X22" s="1815"/>
      <c r="Y22" s="3205"/>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2">
        <f>B23</f>
        <v>111</v>
      </c>
      <c r="R23" s="774" t="s">
        <v>17</v>
      </c>
      <c r="S23" s="775">
        <f>F23</f>
        <v>100</v>
      </c>
      <c r="T23" s="774" t="s">
        <v>17</v>
      </c>
      <c r="U23" s="775">
        <f>H23</f>
        <v>100</v>
      </c>
      <c r="V23" s="774" t="s">
        <v>17</v>
      </c>
      <c r="W23" s="775">
        <f>J23</f>
        <v>100</v>
      </c>
      <c r="X23" s="1815"/>
      <c r="Y23" s="3205"/>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2">
        <f t="shared" ref="Q24:Q34" si="11">B24</f>
        <v>111</v>
      </c>
      <c r="R24" s="774" t="s">
        <v>17</v>
      </c>
      <c r="S24" s="775">
        <f>F24</f>
        <v>100</v>
      </c>
      <c r="T24" s="774" t="s">
        <v>17</v>
      </c>
      <c r="U24" s="775">
        <f>H24</f>
        <v>100</v>
      </c>
      <c r="V24" s="774" t="s">
        <v>17</v>
      </c>
      <c r="W24" s="775">
        <f>J24</f>
        <v>100</v>
      </c>
      <c r="X24" s="1815"/>
      <c r="Y24" s="3205"/>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5"/>
      <c r="Q25" s="1797">
        <f t="shared" si="11"/>
        <v>111</v>
      </c>
      <c r="R25" s="770" t="s">
        <v>17</v>
      </c>
      <c r="S25" s="771">
        <f>F25</f>
        <v>100</v>
      </c>
      <c r="T25" s="770" t="s">
        <v>17</v>
      </c>
      <c r="U25" s="771">
        <f>H25</f>
        <v>100</v>
      </c>
      <c r="V25" s="770" t="s">
        <v>17</v>
      </c>
      <c r="W25" s="771">
        <f>J25</f>
        <v>100</v>
      </c>
      <c r="X25" s="772"/>
      <c r="Y25" s="3205"/>
      <c r="Z25" s="55">
        <f>Q25</f>
        <v>111</v>
      </c>
      <c r="AA25" s="1813">
        <f>D25/F25</f>
        <v>1</v>
      </c>
      <c r="AB25" s="1813">
        <f>D25/H25</f>
        <v>1</v>
      </c>
      <c r="AC25" s="1813">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8"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9"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2" t="str">
        <f t="shared" si="11"/>
        <v>物业等级</v>
      </c>
      <c r="R28" s="774" t="s">
        <v>17</v>
      </c>
      <c r="S28" s="775">
        <f t="shared" si="12"/>
        <v>100</v>
      </c>
      <c r="T28" s="774" t="s">
        <v>17</v>
      </c>
      <c r="U28" s="775">
        <f t="shared" si="13"/>
        <v>100</v>
      </c>
      <c r="V28" s="774" t="s">
        <v>17</v>
      </c>
      <c r="W28" s="775">
        <f t="shared" si="14"/>
        <v>100</v>
      </c>
      <c r="X28" s="1815"/>
      <c r="Y28" s="3209"/>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2" t="str">
        <f t="shared" si="11"/>
        <v>有无电梯</v>
      </c>
      <c r="R29" s="774" t="s">
        <v>17</v>
      </c>
      <c r="S29" s="775">
        <f t="shared" si="12"/>
        <v>100</v>
      </c>
      <c r="T29" s="774" t="s">
        <v>17</v>
      </c>
      <c r="U29" s="775">
        <f t="shared" si="13"/>
        <v>100</v>
      </c>
      <c r="V29" s="774" t="s">
        <v>17</v>
      </c>
      <c r="W29" s="775">
        <f t="shared" si="14"/>
        <v>100</v>
      </c>
      <c r="X29" s="1815"/>
      <c r="Y29" s="3209"/>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2" t="str">
        <f t="shared" si="11"/>
        <v>建筑面积</v>
      </c>
      <c r="R30" s="774" t="s">
        <v>17</v>
      </c>
      <c r="S30" s="775" t="e">
        <f t="shared" si="12"/>
        <v>#N/A</v>
      </c>
      <c r="T30" s="774" t="s">
        <v>17</v>
      </c>
      <c r="U30" s="775" t="e">
        <f t="shared" si="13"/>
        <v>#N/A</v>
      </c>
      <c r="V30" s="774" t="s">
        <v>17</v>
      </c>
      <c r="W30" s="775" t="e">
        <f t="shared" si="14"/>
        <v>#N/A</v>
      </c>
      <c r="X30" s="1815"/>
      <c r="Y30" s="3209"/>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7"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2564</v>
      </c>
      <c r="Q32" s="1812">
        <f t="shared" si="11"/>
        <v>111</v>
      </c>
      <c r="R32" s="774" t="s">
        <v>17</v>
      </c>
      <c r="S32" s="775">
        <f t="shared" si="12"/>
        <v>100</v>
      </c>
      <c r="T32" s="774" t="s">
        <v>17</v>
      </c>
      <c r="U32" s="775">
        <f t="shared" si="13"/>
        <v>100</v>
      </c>
      <c r="V32" s="774" t="s">
        <v>17</v>
      </c>
      <c r="W32" s="775">
        <f t="shared" si="14"/>
        <v>100</v>
      </c>
      <c r="X32" s="1815"/>
      <c r="Y32" s="3209" t="s">
        <v>2564</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2">
        <f t="shared" si="11"/>
        <v>111</v>
      </c>
      <c r="R33" s="774" t="s">
        <v>17</v>
      </c>
      <c r="S33" s="775">
        <f t="shared" si="12"/>
        <v>100</v>
      </c>
      <c r="T33" s="774" t="s">
        <v>17</v>
      </c>
      <c r="U33" s="775">
        <f t="shared" si="13"/>
        <v>100</v>
      </c>
      <c r="V33" s="774" t="s">
        <v>17</v>
      </c>
      <c r="W33" s="775">
        <f t="shared" si="14"/>
        <v>100</v>
      </c>
      <c r="X33" s="1815"/>
      <c r="Y33" s="3209"/>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G8" sqref="G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2560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407</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68" t="s">
        <v>2647</v>
      </c>
      <c r="AC4" s="3167" t="s">
        <v>2648</v>
      </c>
    </row>
    <row r="5" spans="1:30"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68"/>
      <c r="AC5" s="3168"/>
    </row>
    <row r="6" spans="1:30" ht="15.75" thickBot="1">
      <c r="A6" s="406"/>
      <c r="B6" s="407"/>
      <c r="C6" s="3180" t="s">
        <v>2545</v>
      </c>
      <c r="D6" s="3181"/>
      <c r="E6" s="3182" t="s">
        <v>2545</v>
      </c>
      <c r="F6" s="3183"/>
      <c r="G6" s="3180" t="s">
        <v>2545</v>
      </c>
      <c r="H6" s="3181"/>
      <c r="I6" s="3180" t="s">
        <v>2545</v>
      </c>
      <c r="J6" s="3181"/>
      <c r="K6" s="610" t="s">
        <v>2546</v>
      </c>
      <c r="L6" s="1133"/>
      <c r="M6" s="1134"/>
      <c r="N6" s="1134"/>
      <c r="O6" s="1134"/>
      <c r="P6" s="3193"/>
      <c r="Q6" s="3194"/>
      <c r="R6" s="3174"/>
      <c r="S6" s="3175"/>
      <c r="T6" s="3195"/>
      <c r="U6" s="3196"/>
      <c r="V6" s="3197"/>
      <c r="W6" s="3197"/>
      <c r="X6" s="1815"/>
      <c r="Y6" s="3195"/>
      <c r="Z6" s="3196"/>
      <c r="AA6" s="3169"/>
      <c r="AB6" s="3169"/>
      <c r="AC6" s="3169"/>
    </row>
    <row r="7" spans="1:30" s="117" customFormat="1" ht="15.75" thickBot="1">
      <c r="A7" s="408" t="s">
        <v>2547</v>
      </c>
      <c r="B7" s="409"/>
      <c r="C7" s="410">
        <f>'数据-取费表'!B2</f>
        <v>43487</v>
      </c>
      <c r="D7" s="411">
        <v>100</v>
      </c>
      <c r="E7" s="412" t="str">
        <f>Sheet1!H4</f>
        <v>2018-06-12</v>
      </c>
      <c r="F7" s="413">
        <f>SUMIF(70:70,YEAR(E7)&amp;"-"&amp;INT((MONTH(E7)+2)/3),71:71)</f>
        <v>97</v>
      </c>
      <c r="G7" s="2701" t="str">
        <f>Sheet1!H2</f>
        <v>2018-07-05</v>
      </c>
      <c r="H7" s="411">
        <f>SUMIF(70:70,YEAR(G7)&amp;"-"&amp;INT((MONTH(G7)+2)/3),71:71)</f>
        <v>98</v>
      </c>
      <c r="I7" s="2701" t="str">
        <f>Sheet1!H8</f>
        <v>2018-02-06</v>
      </c>
      <c r="J7" s="411">
        <f>SUMIF(70:70,YEAR(I7)&amp;"-"&amp;INT((MONTH(I7)+2)/3),71:71)</f>
        <v>96</v>
      </c>
      <c r="K7" s="611"/>
      <c r="L7" s="1135"/>
      <c r="M7" s="1136"/>
      <c r="N7" s="1136"/>
      <c r="O7" s="1136"/>
      <c r="P7" s="3170" t="s">
        <v>2548</v>
      </c>
      <c r="Q7" s="3198"/>
      <c r="R7" s="770" t="s">
        <v>17</v>
      </c>
      <c r="S7" s="771">
        <f t="shared" ref="S7:S15" si="0">F7</f>
        <v>97</v>
      </c>
      <c r="T7" s="770" t="s">
        <v>17</v>
      </c>
      <c r="U7" s="771">
        <f t="shared" ref="U7:U15" si="1">H7</f>
        <v>98</v>
      </c>
      <c r="V7" s="770" t="s">
        <v>17</v>
      </c>
      <c r="W7" s="771">
        <f t="shared" ref="W7:W15" si="2">J7</f>
        <v>96</v>
      </c>
      <c r="X7" s="772"/>
      <c r="Y7" s="3170" t="s">
        <v>2548</v>
      </c>
      <c r="Z7" s="3171"/>
      <c r="AA7" s="773">
        <f>D7/F7</f>
        <v>1.0309278350515463</v>
      </c>
      <c r="AB7" s="773">
        <f>D7/H7</f>
        <v>1.0204081632653061</v>
      </c>
      <c r="AC7" s="773">
        <f>D7/J7</f>
        <v>1.0416666666666667</v>
      </c>
    </row>
    <row r="8" spans="1:30" s="117" customFormat="1" ht="15.75" thickBot="1">
      <c r="A8" s="408" t="s">
        <v>2549</v>
      </c>
      <c r="B8" s="409"/>
      <c r="C8" s="414" t="s">
        <v>2550</v>
      </c>
      <c r="D8" s="411">
        <v>100</v>
      </c>
      <c r="E8" s="414" t="s">
        <v>3141</v>
      </c>
      <c r="F8" s="413">
        <f>SUMIF(73:73,E8,74:74)-SUMIF(73:73,C8,74:74)+100</f>
        <v>100</v>
      </c>
      <c r="G8" s="414" t="s">
        <v>3141</v>
      </c>
      <c r="H8" s="411">
        <f>SUMIF(73:73,G8,74:74)-SUMIF(73:73,C8,74:74)+100</f>
        <v>100</v>
      </c>
      <c r="I8" s="414" t="s">
        <v>3141</v>
      </c>
      <c r="J8" s="411">
        <f>SUMIF(73:73,I8,74:74)-SUMIF(73:73,C8,74:74)+100</f>
        <v>100</v>
      </c>
      <c r="K8" s="611"/>
      <c r="L8" s="1135"/>
      <c r="M8" s="1136"/>
      <c r="N8" s="1136"/>
      <c r="O8" s="1136"/>
      <c r="P8" s="3170" t="s">
        <v>2551</v>
      </c>
      <c r="Q8" s="3171"/>
      <c r="R8" s="770" t="s">
        <v>17</v>
      </c>
      <c r="S8" s="771">
        <f t="shared" si="0"/>
        <v>100</v>
      </c>
      <c r="T8" s="770" t="s">
        <v>17</v>
      </c>
      <c r="U8" s="771">
        <f t="shared" si="1"/>
        <v>100</v>
      </c>
      <c r="V8" s="770" t="s">
        <v>17</v>
      </c>
      <c r="W8" s="771">
        <f t="shared" si="2"/>
        <v>100</v>
      </c>
      <c r="X8" s="772"/>
      <c r="Y8" s="3170" t="s">
        <v>2551</v>
      </c>
      <c r="Z8" s="3171"/>
      <c r="AA8" s="773">
        <f t="shared" ref="AA8:AA45" si="3">D8/F8</f>
        <v>1</v>
      </c>
      <c r="AB8" s="773">
        <f t="shared" ref="AB8:AB45" si="4">D8/H8</f>
        <v>1</v>
      </c>
      <c r="AC8" s="773">
        <f t="shared" ref="AC8:AC45" si="5">D8/J8</f>
        <v>1</v>
      </c>
    </row>
    <row r="9" spans="1:30" s="117" customFormat="1">
      <c r="A9" s="415" t="s">
        <v>2552</v>
      </c>
      <c r="B9" s="71" t="s">
        <v>2553</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02"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02"/>
      <c r="Q10" s="1797" t="str">
        <f t="shared" si="6"/>
        <v>土地使用年限（年）</v>
      </c>
      <c r="R10" s="770" t="s">
        <v>17</v>
      </c>
      <c r="S10" s="771">
        <f t="shared" si="0"/>
        <v>102</v>
      </c>
      <c r="T10" s="770" t="s">
        <v>17</v>
      </c>
      <c r="U10" s="771">
        <f t="shared" si="1"/>
        <v>102</v>
      </c>
      <c r="V10" s="770" t="s">
        <v>17</v>
      </c>
      <c r="W10" s="771">
        <f t="shared" si="2"/>
        <v>102</v>
      </c>
      <c r="X10" s="772"/>
      <c r="Y10" s="3017"/>
      <c r="Z10" s="55" t="str">
        <f t="shared" si="7"/>
        <v>土地使用年限（年）</v>
      </c>
      <c r="AA10" s="773">
        <f t="shared" si="3"/>
        <v>0.98039215686274506</v>
      </c>
      <c r="AB10" s="773">
        <f t="shared" si="4"/>
        <v>0.98039215686274506</v>
      </c>
      <c r="AC10" s="773">
        <f t="shared" si="5"/>
        <v>0.98039215686274506</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c r="L11" s="1141"/>
      <c r="M11" s="1134"/>
      <c r="N11" s="1134"/>
      <c r="O11" s="1142"/>
      <c r="P11" s="3202"/>
      <c r="Q11" s="1797"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7"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2558</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2559</v>
      </c>
      <c r="Q15" s="1812" t="str">
        <f t="shared" si="6"/>
        <v>居住社区成熟度</v>
      </c>
      <c r="R15" s="774" t="s">
        <v>17</v>
      </c>
      <c r="S15" s="775">
        <f t="shared" si="0"/>
        <v>100</v>
      </c>
      <c r="T15" s="774" t="s">
        <v>17</v>
      </c>
      <c r="U15" s="775">
        <f t="shared" si="1"/>
        <v>100</v>
      </c>
      <c r="V15" s="774" t="s">
        <v>17</v>
      </c>
      <c r="W15" s="775">
        <f t="shared" si="2"/>
        <v>100</v>
      </c>
      <c r="X15" s="1815"/>
      <c r="Y15" s="3204" t="s">
        <v>2559</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205"/>
      <c r="Q16" s="1812"/>
      <c r="R16" s="774"/>
      <c r="S16" s="775"/>
      <c r="T16" s="774"/>
      <c r="U16" s="775"/>
      <c r="V16" s="774"/>
      <c r="W16" s="775"/>
      <c r="X16" s="1815"/>
      <c r="Y16" s="3205"/>
      <c r="Z16" s="1816"/>
      <c r="AA16" s="1813">
        <v>1</v>
      </c>
      <c r="AB16" s="1813">
        <v>1</v>
      </c>
      <c r="AC16" s="1813">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2" t="str">
        <f>B17</f>
        <v>商业繁华度</v>
      </c>
      <c r="R17" s="774" t="s">
        <v>17</v>
      </c>
      <c r="S17" s="775">
        <f>F17</f>
        <v>100</v>
      </c>
      <c r="T17" s="774" t="s">
        <v>17</v>
      </c>
      <c r="U17" s="775">
        <f>H17</f>
        <v>100</v>
      </c>
      <c r="V17" s="774" t="s">
        <v>17</v>
      </c>
      <c r="W17" s="775">
        <f>J17</f>
        <v>100</v>
      </c>
      <c r="X17" s="1815"/>
      <c r="Y17" s="3205"/>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205"/>
      <c r="Q18" s="1812"/>
      <c r="R18" s="774"/>
      <c r="S18" s="775"/>
      <c r="T18" s="774"/>
      <c r="U18" s="775"/>
      <c r="V18" s="774"/>
      <c r="W18" s="775"/>
      <c r="X18" s="1815"/>
      <c r="Y18" s="3205"/>
      <c r="Z18" s="1816"/>
      <c r="AA18" s="1813">
        <v>1</v>
      </c>
      <c r="AB18" s="1813">
        <v>1</v>
      </c>
      <c r="AC18" s="1813">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2" t="str">
        <f>B19</f>
        <v>办公集聚程度</v>
      </c>
      <c r="R19" s="774" t="s">
        <v>17</v>
      </c>
      <c r="S19" s="775">
        <f>F19</f>
        <v>100</v>
      </c>
      <c r="T19" s="774" t="s">
        <v>17</v>
      </c>
      <c r="U19" s="775">
        <f>H19</f>
        <v>100</v>
      </c>
      <c r="V19" s="774" t="s">
        <v>17</v>
      </c>
      <c r="W19" s="775">
        <f>J19</f>
        <v>100</v>
      </c>
      <c r="X19" s="1815"/>
      <c r="Y19" s="3205"/>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205"/>
      <c r="Q20" s="1812"/>
      <c r="R20" s="774"/>
      <c r="S20" s="775"/>
      <c r="T20" s="774"/>
      <c r="U20" s="775"/>
      <c r="V20" s="774"/>
      <c r="W20" s="775"/>
      <c r="X20" s="1815"/>
      <c r="Y20" s="3205"/>
      <c r="Z20" s="1816"/>
      <c r="AA20" s="1813">
        <v>1</v>
      </c>
      <c r="AB20" s="1813">
        <v>1</v>
      </c>
      <c r="AC20" s="1813">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2" t="str">
        <f>B21</f>
        <v>交通便捷度</v>
      </c>
      <c r="R21" s="774" t="s">
        <v>17</v>
      </c>
      <c r="S21" s="775">
        <f>F21</f>
        <v>100</v>
      </c>
      <c r="T21" s="774" t="s">
        <v>17</v>
      </c>
      <c r="U21" s="775">
        <f>H21</f>
        <v>100</v>
      </c>
      <c r="V21" s="774" t="s">
        <v>17</v>
      </c>
      <c r="W21" s="775">
        <f>J21</f>
        <v>100</v>
      </c>
      <c r="X21" s="1815"/>
      <c r="Y21" s="3205"/>
      <c r="Z21" s="1816" t="str">
        <f>Q21</f>
        <v>交通便捷度</v>
      </c>
      <c r="AA21" s="1813">
        <f t="shared" si="3"/>
        <v>1</v>
      </c>
      <c r="AB21" s="1813">
        <f t="shared" si="4"/>
        <v>1</v>
      </c>
      <c r="AC21" s="1813">
        <f t="shared" si="5"/>
        <v>1</v>
      </c>
    </row>
    <row r="22" spans="1:29" ht="15">
      <c r="A22" s="428"/>
      <c r="B22" s="1387"/>
      <c r="C22" s="447"/>
      <c r="D22" s="450"/>
      <c r="E22" s="2610"/>
      <c r="F22" s="448"/>
      <c r="G22" s="2610"/>
      <c r="H22" s="448"/>
      <c r="I22" s="2609"/>
      <c r="J22" s="448"/>
      <c r="K22" s="672"/>
      <c r="L22" s="1143"/>
      <c r="M22" s="1134"/>
      <c r="N22" s="1134"/>
      <c r="O22" s="1142"/>
      <c r="P22" s="3205"/>
      <c r="Q22" s="1812"/>
      <c r="R22" s="774"/>
      <c r="S22" s="775"/>
      <c r="T22" s="774"/>
      <c r="U22" s="775"/>
      <c r="V22" s="774"/>
      <c r="W22" s="775"/>
      <c r="X22" s="1815"/>
      <c r="Y22" s="3205"/>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2" t="str">
        <f t="shared" ref="Q23:Q37" si="8">B23</f>
        <v>区域土地利用方向</v>
      </c>
      <c r="R23" s="774" t="s">
        <v>17</v>
      </c>
      <c r="S23" s="775">
        <f>F23</f>
        <v>100</v>
      </c>
      <c r="T23" s="774" t="s">
        <v>17</v>
      </c>
      <c r="U23" s="775">
        <f>H23</f>
        <v>100</v>
      </c>
      <c r="V23" s="774" t="s">
        <v>17</v>
      </c>
      <c r="W23" s="775">
        <f>J23</f>
        <v>100</v>
      </c>
      <c r="X23" s="1815"/>
      <c r="Y23" s="3205"/>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205"/>
      <c r="Q24" s="1812"/>
      <c r="R24" s="774"/>
      <c r="S24" s="775"/>
      <c r="T24" s="774"/>
      <c r="U24" s="775"/>
      <c r="V24" s="774"/>
      <c r="W24" s="775"/>
      <c r="X24" s="1815"/>
      <c r="Y24" s="3205"/>
      <c r="Z24" s="1816"/>
      <c r="AA24" s="1813"/>
      <c r="AB24" s="1813"/>
      <c r="AC24" s="1813"/>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2" t="str">
        <f t="shared" si="8"/>
        <v>自然及人文环境状况</v>
      </c>
      <c r="R25" s="774" t="s">
        <v>17</v>
      </c>
      <c r="S25" s="775">
        <f>F25</f>
        <v>100</v>
      </c>
      <c r="T25" s="774" t="s">
        <v>17</v>
      </c>
      <c r="U25" s="775">
        <f>H25</f>
        <v>100</v>
      </c>
      <c r="V25" s="774" t="s">
        <v>17</v>
      </c>
      <c r="W25" s="775">
        <f>J25</f>
        <v>100</v>
      </c>
      <c r="X25" s="1815"/>
      <c r="Y25" s="3205"/>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205"/>
      <c r="Q26" s="1812"/>
      <c r="R26" s="774"/>
      <c r="S26" s="775"/>
      <c r="T26" s="774"/>
      <c r="U26" s="775"/>
      <c r="V26" s="774"/>
      <c r="W26" s="775"/>
      <c r="X26" s="1815"/>
      <c r="Y26" s="3205"/>
      <c r="Z26" s="1816"/>
      <c r="AA26" s="1813">
        <v>1</v>
      </c>
      <c r="AB26" s="1813">
        <v>1</v>
      </c>
      <c r="AC26" s="1813">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7" t="str">
        <f t="shared" si="8"/>
        <v>公共配套设施</v>
      </c>
      <c r="R27" s="770" t="s">
        <v>17</v>
      </c>
      <c r="S27" s="771">
        <f>F27</f>
        <v>100</v>
      </c>
      <c r="T27" s="770" t="s">
        <v>17</v>
      </c>
      <c r="U27" s="771">
        <f>H27</f>
        <v>100</v>
      </c>
      <c r="V27" s="770" t="s">
        <v>17</v>
      </c>
      <c r="W27" s="771">
        <f>J27</f>
        <v>100</v>
      </c>
      <c r="X27" s="772"/>
      <c r="Y27" s="3205"/>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205"/>
      <c r="Q28" s="1797"/>
      <c r="R28" s="770"/>
      <c r="S28" s="771"/>
      <c r="T28" s="770"/>
      <c r="U28" s="771"/>
      <c r="V28" s="770"/>
      <c r="W28" s="771"/>
      <c r="X28" s="772"/>
      <c r="Y28" s="3205"/>
      <c r="Z28" s="55"/>
      <c r="AA28" s="1813">
        <v>1</v>
      </c>
      <c r="AB28" s="1813">
        <v>1</v>
      </c>
      <c r="AC28" s="1813">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7"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05"/>
      <c r="Q30" s="1797"/>
      <c r="R30" s="770"/>
      <c r="S30" s="771"/>
      <c r="T30" s="770"/>
      <c r="U30" s="771"/>
      <c r="V30" s="770"/>
      <c r="W30" s="771"/>
      <c r="X30" s="772"/>
      <c r="Y30" s="3205"/>
      <c r="Z30" s="55"/>
      <c r="AA30" s="1813">
        <v>1</v>
      </c>
      <c r="AB30" s="1813">
        <v>1</v>
      </c>
      <c r="AC30" s="181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5"/>
      <c r="Z31" s="1816" t="str">
        <f t="shared" ref="Z31:Z45" si="13">Q31</f>
        <v>临街状况</v>
      </c>
      <c r="AA31" s="1813">
        <f t="shared" si="3"/>
        <v>1</v>
      </c>
      <c r="AB31" s="1813">
        <f t="shared" si="4"/>
        <v>1</v>
      </c>
      <c r="AC31" s="1813">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2" t="str">
        <f t="shared" si="8"/>
        <v>毗邻道路的类型与等级</v>
      </c>
      <c r="R32" s="774" t="s">
        <v>17</v>
      </c>
      <c r="S32" s="775">
        <f t="shared" si="10"/>
        <v>100</v>
      </c>
      <c r="T32" s="774" t="s">
        <v>17</v>
      </c>
      <c r="U32" s="775">
        <f t="shared" si="11"/>
        <v>100</v>
      </c>
      <c r="V32" s="774" t="s">
        <v>17</v>
      </c>
      <c r="W32" s="775">
        <f t="shared" si="12"/>
        <v>100</v>
      </c>
      <c r="X32" s="1815"/>
      <c r="Y32" s="3205"/>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205"/>
      <c r="Q33" s="1812"/>
      <c r="R33" s="774"/>
      <c r="S33" s="775"/>
      <c r="T33" s="774"/>
      <c r="U33" s="775"/>
      <c r="V33" s="774"/>
      <c r="W33" s="775"/>
      <c r="X33" s="1815"/>
      <c r="Y33" s="3205"/>
      <c r="Z33" s="1816"/>
      <c r="AA33" s="1813">
        <v>1</v>
      </c>
      <c r="AB33" s="1813">
        <v>1</v>
      </c>
      <c r="AC33" s="181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2" t="str">
        <f t="shared" si="8"/>
        <v>土地级别</v>
      </c>
      <c r="R34" s="774" t="s">
        <v>17</v>
      </c>
      <c r="S34" s="775">
        <f t="shared" si="10"/>
        <v>100</v>
      </c>
      <c r="T34" s="774" t="s">
        <v>17</v>
      </c>
      <c r="U34" s="775">
        <f t="shared" si="11"/>
        <v>100</v>
      </c>
      <c r="V34" s="774" t="s">
        <v>17</v>
      </c>
      <c r="W34" s="775">
        <f t="shared" si="12"/>
        <v>100</v>
      </c>
      <c r="X34" s="1815"/>
      <c r="Y34" s="320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2">
        <f t="shared" si="8"/>
        <v>111</v>
      </c>
      <c r="R35" s="774" t="s">
        <v>17</v>
      </c>
      <c r="S35" s="775">
        <f t="shared" si="10"/>
        <v>100</v>
      </c>
      <c r="T35" s="774" t="s">
        <v>17</v>
      </c>
      <c r="U35" s="775">
        <f t="shared" si="11"/>
        <v>100</v>
      </c>
      <c r="V35" s="774" t="s">
        <v>17</v>
      </c>
      <c r="W35" s="775">
        <f t="shared" si="12"/>
        <v>100</v>
      </c>
      <c r="X35" s="1815"/>
      <c r="Y35" s="320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2564</v>
      </c>
      <c r="Q36" s="1812">
        <f t="shared" si="8"/>
        <v>111</v>
      </c>
      <c r="R36" s="774" t="s">
        <v>17</v>
      </c>
      <c r="S36" s="775">
        <f t="shared" si="10"/>
        <v>100</v>
      </c>
      <c r="T36" s="774" t="s">
        <v>17</v>
      </c>
      <c r="U36" s="775">
        <f t="shared" si="11"/>
        <v>100</v>
      </c>
      <c r="V36" s="774" t="s">
        <v>17</v>
      </c>
      <c r="W36" s="775">
        <f t="shared" si="12"/>
        <v>100</v>
      </c>
      <c r="X36" s="1815"/>
      <c r="Y36" s="3209" t="s">
        <v>2564</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2">
        <f t="shared" si="8"/>
        <v>111</v>
      </c>
      <c r="R37" s="777" t="s">
        <v>17</v>
      </c>
      <c r="S37" s="778">
        <f t="shared" si="10"/>
        <v>100</v>
      </c>
      <c r="T37" s="777" t="s">
        <v>17</v>
      </c>
      <c r="U37" s="778">
        <f t="shared" si="11"/>
        <v>100</v>
      </c>
      <c r="V37" s="777" t="s">
        <v>17</v>
      </c>
      <c r="W37" s="778">
        <f t="shared" si="12"/>
        <v>100</v>
      </c>
      <c r="X37" s="779"/>
      <c r="Y37" s="3209"/>
      <c r="Z37" s="780">
        <f t="shared" si="13"/>
        <v>111</v>
      </c>
      <c r="AA37" s="1813">
        <f t="shared" si="3"/>
        <v>1</v>
      </c>
      <c r="AB37" s="1813">
        <f t="shared" si="4"/>
        <v>1</v>
      </c>
      <c r="AC37" s="1813">
        <f t="shared" si="5"/>
        <v>1</v>
      </c>
    </row>
    <row r="38" spans="1:29" ht="15">
      <c r="A38" s="472" t="s">
        <v>2562</v>
      </c>
      <c r="B38" s="456" t="s">
        <v>2750</v>
      </c>
      <c r="C38" s="679">
        <f>'数据-基础表'!A3</f>
        <v>17381.8</v>
      </c>
      <c r="D38" s="467">
        <v>100</v>
      </c>
      <c r="E38" s="679">
        <f>Sheet1!D4</f>
        <v>34606.21</v>
      </c>
      <c r="F38" s="467">
        <f>LOOKUP(E38,117:117,118:118)-LOOKUP(C38,117:117,118:118)+100</f>
        <v>102</v>
      </c>
      <c r="G38" s="679">
        <f>Sheet1!D2</f>
        <v>28577.39</v>
      </c>
      <c r="H38" s="467">
        <f>LOOKUP(G38,117:117,118:118)-LOOKUP(C38,117:117,118:118)+100</f>
        <v>101</v>
      </c>
      <c r="I38" s="530">
        <f>Sheet1!D8</f>
        <v>34642.5</v>
      </c>
      <c r="J38" s="467">
        <f>LOOKUP(I38,117:117,118:118)-LOOKUP(C38,117:117,118:118)+100</f>
        <v>102</v>
      </c>
      <c r="K38" s="613"/>
      <c r="L38" s="1143"/>
      <c r="M38" s="1134"/>
      <c r="N38" s="1134"/>
      <c r="O38" s="1142"/>
      <c r="P38" s="3209"/>
      <c r="Q38" s="1812" t="str">
        <f>B38</f>
        <v>宗地面积</v>
      </c>
      <c r="R38" s="774" t="s">
        <v>17</v>
      </c>
      <c r="S38" s="775">
        <f t="shared" si="10"/>
        <v>102</v>
      </c>
      <c r="T38" s="774" t="s">
        <v>17</v>
      </c>
      <c r="U38" s="775">
        <f t="shared" si="11"/>
        <v>101</v>
      </c>
      <c r="V38" s="774" t="s">
        <v>17</v>
      </c>
      <c r="W38" s="775">
        <f t="shared" si="12"/>
        <v>102</v>
      </c>
      <c r="X38" s="1815"/>
      <c r="Y38" s="3209"/>
      <c r="Z38" s="1816" t="str">
        <f t="shared" si="13"/>
        <v>宗地面积</v>
      </c>
      <c r="AA38" s="1813">
        <f t="shared" si="3"/>
        <v>0.98039215686274506</v>
      </c>
      <c r="AB38" s="1813">
        <f t="shared" si="4"/>
        <v>0.99009900990099009</v>
      </c>
      <c r="AC38" s="1813">
        <f t="shared" si="5"/>
        <v>0.98039215686274506</v>
      </c>
    </row>
    <row r="39" spans="1:29" ht="15">
      <c r="A39" s="472"/>
      <c r="B39" s="422" t="s">
        <v>2751</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09"/>
      <c r="Q39" s="1812" t="str">
        <f t="shared" ref="Q39:Q45" si="14">B39</f>
        <v>宗地形状</v>
      </c>
      <c r="R39" s="774" t="s">
        <v>17</v>
      </c>
      <c r="S39" s="775">
        <f t="shared" si="10"/>
        <v>100</v>
      </c>
      <c r="T39" s="774" t="s">
        <v>17</v>
      </c>
      <c r="U39" s="775">
        <f t="shared" si="11"/>
        <v>100</v>
      </c>
      <c r="V39" s="774" t="s">
        <v>17</v>
      </c>
      <c r="W39" s="775">
        <f t="shared" si="12"/>
        <v>100</v>
      </c>
      <c r="X39" s="1815"/>
      <c r="Y39" s="3209"/>
      <c r="Z39" s="1816" t="str">
        <f t="shared" si="13"/>
        <v>宗地形状</v>
      </c>
      <c r="AA39" s="1813">
        <f t="shared" si="3"/>
        <v>1</v>
      </c>
      <c r="AB39" s="1813">
        <f t="shared" si="4"/>
        <v>1</v>
      </c>
      <c r="AC39" s="1813">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09"/>
      <c r="Q40" s="1812" t="str">
        <f t="shared" si="14"/>
        <v>临街宽度及深度</v>
      </c>
      <c r="R40" s="774" t="s">
        <v>17</v>
      </c>
      <c r="S40" s="775">
        <f t="shared" si="10"/>
        <v>100</v>
      </c>
      <c r="T40" s="774" t="s">
        <v>17</v>
      </c>
      <c r="U40" s="775">
        <f t="shared" si="11"/>
        <v>100</v>
      </c>
      <c r="V40" s="774" t="s">
        <v>17</v>
      </c>
      <c r="W40" s="775">
        <f t="shared" si="12"/>
        <v>100</v>
      </c>
      <c r="X40" s="1815"/>
      <c r="Y40" s="3209"/>
      <c r="Z40" s="1816" t="str">
        <f t="shared" si="13"/>
        <v>临街宽度及深度</v>
      </c>
      <c r="AA40" s="1813">
        <f t="shared" si="3"/>
        <v>1</v>
      </c>
      <c r="AB40" s="1813">
        <f t="shared" si="4"/>
        <v>1</v>
      </c>
      <c r="AC40" s="1813">
        <f t="shared" si="5"/>
        <v>1</v>
      </c>
    </row>
    <row r="41" spans="1:29" s="117" customFormat="1" ht="15">
      <c r="A41" s="473"/>
      <c r="B41" s="422" t="s">
        <v>2753</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09"/>
      <c r="Q41" s="1812"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09" t="s">
        <v>2564</v>
      </c>
      <c r="Q42" s="1812" t="str">
        <f t="shared" si="14"/>
        <v>工程地质条件</v>
      </c>
      <c r="R42" s="774" t="s">
        <v>17</v>
      </c>
      <c r="S42" s="775">
        <f t="shared" si="10"/>
        <v>100</v>
      </c>
      <c r="T42" s="774" t="s">
        <v>17</v>
      </c>
      <c r="U42" s="775">
        <f t="shared" si="11"/>
        <v>100</v>
      </c>
      <c r="V42" s="774" t="s">
        <v>17</v>
      </c>
      <c r="W42" s="775">
        <f t="shared" si="12"/>
        <v>100</v>
      </c>
      <c r="X42" s="1815"/>
      <c r="Y42" s="3209" t="s">
        <v>2564</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2">
        <f t="shared" si="14"/>
        <v>111</v>
      </c>
      <c r="R43" s="774" t="s">
        <v>17</v>
      </c>
      <c r="S43" s="775">
        <f t="shared" si="10"/>
        <v>100</v>
      </c>
      <c r="T43" s="774" t="s">
        <v>17</v>
      </c>
      <c r="U43" s="775">
        <f t="shared" si="11"/>
        <v>100</v>
      </c>
      <c r="V43" s="774" t="s">
        <v>17</v>
      </c>
      <c r="W43" s="775">
        <f t="shared" si="12"/>
        <v>100</v>
      </c>
      <c r="X43" s="1815"/>
      <c r="Y43" s="320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2">
        <f t="shared" si="14"/>
        <v>111</v>
      </c>
      <c r="R44" s="774" t="s">
        <v>17</v>
      </c>
      <c r="S44" s="775">
        <f t="shared" si="10"/>
        <v>100</v>
      </c>
      <c r="T44" s="774" t="s">
        <v>17</v>
      </c>
      <c r="U44" s="775">
        <f t="shared" si="11"/>
        <v>100</v>
      </c>
      <c r="V44" s="774" t="s">
        <v>17</v>
      </c>
      <c r="W44" s="775">
        <f t="shared" si="12"/>
        <v>100</v>
      </c>
      <c r="X44" s="1815"/>
      <c r="Y44" s="3209"/>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2">
        <f t="shared" si="14"/>
        <v>111</v>
      </c>
      <c r="R45" s="777" t="s">
        <v>17</v>
      </c>
      <c r="S45" s="778">
        <f t="shared" si="10"/>
        <v>100</v>
      </c>
      <c r="T45" s="777" t="s">
        <v>17</v>
      </c>
      <c r="U45" s="778">
        <f t="shared" si="11"/>
        <v>100</v>
      </c>
      <c r="V45" s="777" t="s">
        <v>17</v>
      </c>
      <c r="W45" s="778">
        <f t="shared" si="12"/>
        <v>100</v>
      </c>
      <c r="X45" s="779"/>
      <c r="Y45" s="3209"/>
      <c r="Z45" s="780">
        <f t="shared" si="13"/>
        <v>111</v>
      </c>
      <c r="AA45" s="1813">
        <f t="shared" si="3"/>
        <v>1</v>
      </c>
      <c r="AB45" s="1813">
        <f t="shared" si="4"/>
        <v>1</v>
      </c>
      <c r="AC45" s="1813">
        <f t="shared" si="5"/>
        <v>1</v>
      </c>
    </row>
    <row r="46" spans="1:29" ht="15">
      <c r="A46" s="479" t="s">
        <v>2719</v>
      </c>
      <c r="B46" s="2709" t="s">
        <v>2755</v>
      </c>
      <c r="C46" s="682" t="s">
        <v>1</v>
      </c>
      <c r="D46" s="481"/>
      <c r="E46" s="482">
        <f>Sheet1!K4</f>
        <v>478.24</v>
      </c>
      <c r="F46" s="483"/>
      <c r="G46" s="484">
        <f>Sheet1!K2</f>
        <v>659.02</v>
      </c>
      <c r="H46" s="485"/>
      <c r="I46" s="482">
        <f>Sheet1!K8</f>
        <v>477.74</v>
      </c>
      <c r="J46" s="485"/>
      <c r="K46" s="783"/>
      <c r="L46" s="1146"/>
      <c r="M46" s="1147"/>
      <c r="N46" s="1134"/>
      <c r="O46" s="1147"/>
      <c r="P46" s="3202" t="str">
        <f>A46</f>
        <v>成交单价</v>
      </c>
      <c r="Q46" s="3202"/>
      <c r="R46" s="3197">
        <f>E46</f>
        <v>478.24</v>
      </c>
      <c r="S46" s="3197"/>
      <c r="T46" s="3197">
        <f>G46</f>
        <v>659.02</v>
      </c>
      <c r="U46" s="3197"/>
      <c r="V46" s="3197">
        <f>I46</f>
        <v>477.74</v>
      </c>
      <c r="W46" s="3197"/>
      <c r="X46" s="759"/>
      <c r="Y46" s="781"/>
      <c r="Z46" s="759"/>
      <c r="AA46" s="759"/>
      <c r="AB46" s="759"/>
      <c r="AC46" s="759"/>
    </row>
    <row r="47" spans="1:29" ht="15.75" thickBot="1">
      <c r="A47" s="486" t="s">
        <v>2668</v>
      </c>
      <c r="B47" s="683"/>
      <c r="C47" s="490">
        <f>R48</f>
        <v>535</v>
      </c>
      <c r="D47" s="489"/>
      <c r="E47" s="490">
        <f>R47</f>
        <v>474</v>
      </c>
      <c r="F47" s="491"/>
      <c r="G47" s="488">
        <f>T47</f>
        <v>653</v>
      </c>
      <c r="H47" s="489"/>
      <c r="I47" s="490">
        <f>V47</f>
        <v>478</v>
      </c>
      <c r="J47" s="489"/>
      <c r="K47" s="784"/>
      <c r="L47" s="1146"/>
      <c r="M47" s="1147"/>
      <c r="N47" s="1147"/>
      <c r="O47" s="1147"/>
      <c r="P47" s="3202" t="str">
        <f>A47</f>
        <v>比较价值（元/平方米）</v>
      </c>
      <c r="Q47" s="3202"/>
      <c r="R47" s="3229">
        <f>ROUND(PRODUCT(R46,AA7:AA45),0)</f>
        <v>474</v>
      </c>
      <c r="S47" s="3229"/>
      <c r="T47" s="3229">
        <f>ROUND(PRODUCT(T46,AB7:AB45),0)</f>
        <v>653</v>
      </c>
      <c r="U47" s="3229"/>
      <c r="V47" s="3229">
        <f>ROUND(PRODUCT(V46,AC7:AC45),0)</f>
        <v>478</v>
      </c>
      <c r="W47" s="3229"/>
      <c r="X47" s="759"/>
      <c r="Y47" s="759"/>
      <c r="Z47" s="759"/>
      <c r="AA47" s="759"/>
      <c r="AB47" s="759"/>
      <c r="AC47" s="759"/>
    </row>
    <row r="48" spans="1:29" ht="15.75" thickBot="1">
      <c r="A48" s="492" t="s">
        <v>2756</v>
      </c>
      <c r="B48" s="493"/>
      <c r="C48" s="494">
        <f>R48</f>
        <v>535</v>
      </c>
      <c r="D48" s="494"/>
      <c r="E48" s="494"/>
      <c r="F48" s="494"/>
      <c r="G48" s="494"/>
      <c r="H48" s="494"/>
      <c r="I48" s="494"/>
      <c r="J48" s="494"/>
      <c r="K48" s="785"/>
      <c r="L48" s="1146"/>
      <c r="M48" s="1147"/>
      <c r="N48" s="1147"/>
      <c r="O48" s="1147"/>
      <c r="P48" s="3199" t="str">
        <f>A48</f>
        <v>估价对象XX用房的比较价值（楼面单价，元/平方米）</v>
      </c>
      <c r="Q48" s="3200"/>
      <c r="R48" s="3230">
        <f>ROUND(AVERAGE(R47:V47),0)</f>
        <v>535</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8.9451476793249718E-3</v>
      </c>
      <c r="F51" s="500" t="str">
        <f>IF(OR(E51&gt;=0.3,E51&lt;=-0.3),"超过30%","")</f>
        <v/>
      </c>
      <c r="G51" s="499">
        <f>IF(G46&lt;G47,G47/G46-1,G46/G47-1)</f>
        <v>9.2189892802450046E-3</v>
      </c>
      <c r="H51" s="500" t="str">
        <f>IF(OR(G51&gt;=0.3,G51&lt;=-0.3),"超过30%","")</f>
        <v/>
      </c>
      <c r="I51" s="499">
        <f>IF(I46&lt;I47,I47/I46-1,I46/I47-1)</f>
        <v>5.4422907857820668E-4</v>
      </c>
      <c r="J51" s="500" t="str">
        <f>IF(OR(I51&gt;=0.3,I51&lt;=-0.3),"超过30%","")</f>
        <v/>
      </c>
      <c r="K51" s="1108"/>
      <c r="L51" s="1109"/>
      <c r="M51" s="1147"/>
      <c r="N51" s="1147"/>
      <c r="O51" s="1147"/>
    </row>
    <row r="52" spans="1:15" ht="13.5" customHeight="1">
      <c r="A52" s="1147"/>
      <c r="B52" s="1147"/>
      <c r="C52" s="497" t="s">
        <v>2671</v>
      </c>
      <c r="D52" s="501"/>
      <c r="E52" s="499">
        <f>IF(E47&lt;G47,G47/E47-1,E47/G47-1)</f>
        <v>0.3776371308016877</v>
      </c>
      <c r="F52" s="500" t="str">
        <f>IF(OR(E52&gt;=0.2,E52&lt;=-0.2),"超过20%","")</f>
        <v>超过20%</v>
      </c>
      <c r="G52" s="499">
        <f>IF(G47&lt;I47,I47/G47-1,G47/I47-1)</f>
        <v>0.36610878661087876</v>
      </c>
      <c r="H52" s="500" t="str">
        <f>IF(OR(G52&gt;=0.2,G52&lt;=-0.2),"超过20%","")</f>
        <v>超过20%</v>
      </c>
      <c r="I52" s="499">
        <f>IF(I47&lt;E47,E47/I47-1,I47/E47-1)</f>
        <v>8.4388185654007408E-3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0.37801104048176648</v>
      </c>
      <c r="F53" s="500" t="str">
        <f>IF(OR(E53&gt;=0.3,E53&lt;=-0.3),"超过30%","")</f>
        <v>超过30%</v>
      </c>
      <c r="G53" s="499">
        <f>IF(G46&lt;I46,I46/G46-1,G46/I46-1)</f>
        <v>0.37945325909490513</v>
      </c>
      <c r="H53" s="500" t="str">
        <f>IF(OR(G53&gt;=0.3,G53&lt;=-0.3),"超过30%","")</f>
        <v>超过30%</v>
      </c>
      <c r="I53" s="499">
        <f>IF(I46&lt;E46,E46/I46-1,I46/E46-1)</f>
        <v>1.0465943818813717E-3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10" t="s">
        <v>2759</v>
      </c>
      <c r="D55" s="2711" t="s">
        <v>2760</v>
      </c>
      <c r="E55" s="686" t="s">
        <v>2761</v>
      </c>
      <c r="F55" s="1110" t="s">
        <v>2762</v>
      </c>
      <c r="G55" s="3185" t="s">
        <v>2763</v>
      </c>
      <c r="H55" s="3231"/>
      <c r="I55" s="144" t="s">
        <v>2764</v>
      </c>
      <c r="J55" s="2712">
        <f>项目基本情况!F35</f>
        <v>0</v>
      </c>
      <c r="K55" s="2713" t="s">
        <v>2765</v>
      </c>
      <c r="L55" s="1109"/>
      <c r="M55" s="1147"/>
      <c r="N55" s="1147"/>
      <c r="O55" s="1147"/>
    </row>
    <row r="56" spans="1:15" s="692" customFormat="1">
      <c r="A56" s="688" t="s">
        <v>2766</v>
      </c>
      <c r="B56" s="689">
        <f>C48</f>
        <v>535</v>
      </c>
      <c r="C56" s="690">
        <v>1</v>
      </c>
      <c r="D56" s="1166">
        <v>1</v>
      </c>
      <c r="E56" s="690">
        <f>'数据-汇总表'!E8+'数据-汇总表'!E9</f>
        <v>47850.16</v>
      </c>
      <c r="F56" s="1106">
        <f t="shared" ref="F56:F65" si="15">ROUND(B56*E56/10000,0)</f>
        <v>2560</v>
      </c>
      <c r="G56" s="3184"/>
      <c r="H56" s="3202"/>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32"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32"/>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32"/>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32"/>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4"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14723.029999999999</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4"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5"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1026</v>
      </c>
      <c r="E66" s="696">
        <f>IF(B46="楼面地价",SUM(E56:E65),'数据-汇总表'!D3)</f>
        <v>62573.19</v>
      </c>
      <c r="F66" s="697">
        <f>IF(B46="楼面地价",SUM(F56:F65),ROUND(C48*E66/10000,0))</f>
        <v>2560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2781</v>
      </c>
      <c r="B70" s="1362"/>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7" t="s">
        <v>2782</v>
      </c>
      <c r="B71" s="332" t="str">
        <f>"北京市平均增长率"&amp;TEXT(SUMIF(基准地价修正!N21:N25,A71,基准地价修正!P21:P25),"0.00%")</f>
        <v>北京市平均增长率2.29%</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6" t="s">
        <v>3140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0(含)-10000</v>
      </c>
      <c r="D116" s="529" t="str">
        <f t="shared" ref="D116:M116" si="25">D117&amp;"(含)"&amp;"-"&amp;E117</f>
        <v>10000(含)-20000</v>
      </c>
      <c r="E116" s="529" t="str">
        <f t="shared" si="25"/>
        <v>20000(含)-30000</v>
      </c>
      <c r="F116" s="529" t="str">
        <f t="shared" si="25"/>
        <v>30000(含)-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3"/>
      <c r="M4" s="1134"/>
      <c r="N4" s="1134"/>
      <c r="O4" s="1134"/>
      <c r="P4" s="3189" t="s">
        <v>2650</v>
      </c>
      <c r="Q4" s="3190"/>
      <c r="R4" s="3172" t="s">
        <v>2646</v>
      </c>
      <c r="S4" s="3173"/>
      <c r="T4" s="3172" t="s">
        <v>2647</v>
      </c>
      <c r="U4" s="3173"/>
      <c r="V4" s="3197" t="s">
        <v>2648</v>
      </c>
      <c r="W4" s="3197"/>
      <c r="X4" s="1815"/>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3"/>
      <c r="M5" s="1134"/>
      <c r="N5" s="1134"/>
      <c r="O5" s="1134"/>
      <c r="P5" s="3191"/>
      <c r="Q5" s="3192"/>
      <c r="R5" s="3174"/>
      <c r="S5" s="3175"/>
      <c r="T5" s="3174"/>
      <c r="U5" s="3175"/>
      <c r="V5" s="3197"/>
      <c r="W5" s="3197"/>
      <c r="X5" s="1815"/>
      <c r="Y5" s="3174"/>
      <c r="Z5" s="3175"/>
      <c r="AA5" s="3168"/>
      <c r="AB5" s="3168"/>
      <c r="AC5" s="3168"/>
    </row>
    <row r="6" spans="1:29" ht="15.75" thickBot="1">
      <c r="A6" s="406"/>
      <c r="B6" s="407"/>
      <c r="C6" s="3233" t="s">
        <v>2796</v>
      </c>
      <c r="D6" s="3234"/>
      <c r="E6" s="3235" t="s">
        <v>2796</v>
      </c>
      <c r="F6" s="3236"/>
      <c r="G6" s="3233" t="s">
        <v>2796</v>
      </c>
      <c r="H6" s="3234"/>
      <c r="I6" s="3233" t="s">
        <v>2796</v>
      </c>
      <c r="J6" s="3234"/>
      <c r="K6" s="610" t="s">
        <v>2546</v>
      </c>
      <c r="L6" s="1133"/>
      <c r="M6" s="1134"/>
      <c r="N6" s="1134"/>
      <c r="O6" s="1134"/>
      <c r="P6" s="3193"/>
      <c r="Q6" s="3194"/>
      <c r="R6" s="3174"/>
      <c r="S6" s="3175"/>
      <c r="T6" s="3195"/>
      <c r="U6" s="3196"/>
      <c r="V6" s="3197"/>
      <c r="W6" s="3197"/>
      <c r="X6" s="1815"/>
      <c r="Y6" s="3195"/>
      <c r="Z6" s="3196"/>
      <c r="AA6" s="3169"/>
      <c r="AB6" s="3169"/>
      <c r="AC6" s="3169"/>
    </row>
    <row r="7" spans="1:29" s="117" customFormat="1" ht="15.75" thickBot="1">
      <c r="A7" s="408" t="s">
        <v>2547</v>
      </c>
      <c r="B7" s="409"/>
      <c r="C7" s="410">
        <f>'数据-取费表'!B2</f>
        <v>43487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0" t="s">
        <v>2551</v>
      </c>
      <c r="Q8" s="3171"/>
      <c r="R8" s="770" t="s">
        <v>17</v>
      </c>
      <c r="S8" s="771">
        <f t="shared" si="0"/>
        <v>0</v>
      </c>
      <c r="T8" s="770" t="s">
        <v>17</v>
      </c>
      <c r="U8" s="771">
        <f t="shared" si="1"/>
        <v>0</v>
      </c>
      <c r="V8" s="770" t="s">
        <v>17</v>
      </c>
      <c r="W8" s="771">
        <f t="shared" si="2"/>
        <v>0</v>
      </c>
      <c r="X8" s="772"/>
      <c r="Y8" s="3170" t="s">
        <v>2551</v>
      </c>
      <c r="Z8" s="3171"/>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02" t="s">
        <v>2554</v>
      </c>
      <c r="Q9" s="1797"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02"/>
      <c r="Q10" s="1797" t="str">
        <f t="shared" si="6"/>
        <v>土地使用年限（年）</v>
      </c>
      <c r="R10" s="770" t="s">
        <v>17</v>
      </c>
      <c r="S10" s="771">
        <f t="shared" si="0"/>
        <v>102</v>
      </c>
      <c r="T10" s="770" t="s">
        <v>17</v>
      </c>
      <c r="U10" s="771">
        <f t="shared" si="1"/>
        <v>102</v>
      </c>
      <c r="V10" s="770" t="s">
        <v>17</v>
      </c>
      <c r="W10" s="771">
        <f t="shared" si="2"/>
        <v>102</v>
      </c>
      <c r="X10" s="772"/>
      <c r="Y10" s="3017"/>
      <c r="Z10" s="55" t="str">
        <f t="shared" si="7"/>
        <v>土地使用年限（年）</v>
      </c>
      <c r="AA10" s="773">
        <f t="shared" si="3"/>
        <v>0.98039215686274506</v>
      </c>
      <c r="AB10" s="773">
        <f t="shared" si="4"/>
        <v>0.98039215686274506</v>
      </c>
      <c r="AC10" s="773">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7"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2559</v>
      </c>
      <c r="Q15" s="1812" t="str">
        <f t="shared" si="6"/>
        <v>产业集聚程度</v>
      </c>
      <c r="R15" s="774" t="s">
        <v>17</v>
      </c>
      <c r="S15" s="775">
        <f t="shared" si="0"/>
        <v>100</v>
      </c>
      <c r="T15" s="774" t="s">
        <v>17</v>
      </c>
      <c r="U15" s="775">
        <f t="shared" si="1"/>
        <v>100</v>
      </c>
      <c r="V15" s="774" t="s">
        <v>17</v>
      </c>
      <c r="W15" s="775">
        <f t="shared" si="2"/>
        <v>100</v>
      </c>
      <c r="X15" s="1815"/>
      <c r="Y15" s="3204" t="s">
        <v>2559</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5"/>
      <c r="Q16" s="1812"/>
      <c r="R16" s="774"/>
      <c r="S16" s="775"/>
      <c r="T16" s="774"/>
      <c r="U16" s="775"/>
      <c r="V16" s="774"/>
      <c r="W16" s="775"/>
      <c r="X16" s="1815"/>
      <c r="Y16" s="3205"/>
      <c r="Z16" s="1816"/>
      <c r="AA16" s="1813">
        <v>1</v>
      </c>
      <c r="AB16" s="1813">
        <v>1</v>
      </c>
      <c r="AC16" s="1813">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5"/>
      <c r="Q18" s="1812"/>
      <c r="R18" s="774"/>
      <c r="S18" s="775"/>
      <c r="T18" s="774"/>
      <c r="U18" s="775"/>
      <c r="V18" s="774"/>
      <c r="W18" s="775"/>
      <c r="X18" s="1815"/>
      <c r="Y18" s="3205"/>
      <c r="Z18" s="1816"/>
      <c r="AA18" s="1813">
        <v>1</v>
      </c>
      <c r="AB18" s="1813">
        <v>1</v>
      </c>
      <c r="AC18" s="1813">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2" t="str">
        <f t="shared" ref="Q19:Q33" si="8">B19</f>
        <v>区域土地利用方向</v>
      </c>
      <c r="R19" s="774" t="s">
        <v>17</v>
      </c>
      <c r="S19" s="775">
        <f>F19</f>
        <v>100</v>
      </c>
      <c r="T19" s="774" t="s">
        <v>17</v>
      </c>
      <c r="U19" s="775">
        <f>H19</f>
        <v>100</v>
      </c>
      <c r="V19" s="774" t="s">
        <v>17</v>
      </c>
      <c r="W19" s="775">
        <f>J19</f>
        <v>100</v>
      </c>
      <c r="X19" s="1815"/>
      <c r="Y19" s="3205"/>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5"/>
      <c r="Q20" s="1812"/>
      <c r="R20" s="774"/>
      <c r="S20" s="775"/>
      <c r="T20" s="774"/>
      <c r="U20" s="775"/>
      <c r="V20" s="774"/>
      <c r="W20" s="775"/>
      <c r="X20" s="1815"/>
      <c r="Y20" s="3205"/>
      <c r="Z20" s="1816"/>
      <c r="AA20" s="1813"/>
      <c r="AB20" s="1813"/>
      <c r="AC20" s="1813"/>
    </row>
    <row r="21" spans="1:29" ht="71.25">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2" t="str">
        <f t="shared" si="8"/>
        <v>环境状况</v>
      </c>
      <c r="R21" s="774" t="s">
        <v>17</v>
      </c>
      <c r="S21" s="775">
        <f>F21</f>
        <v>100</v>
      </c>
      <c r="T21" s="774" t="s">
        <v>17</v>
      </c>
      <c r="U21" s="775">
        <f>H21</f>
        <v>100</v>
      </c>
      <c r="V21" s="774" t="s">
        <v>17</v>
      </c>
      <c r="W21" s="775">
        <f>J21</f>
        <v>100</v>
      </c>
      <c r="X21" s="1815"/>
      <c r="Y21" s="3205"/>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5"/>
      <c r="Q22" s="1812"/>
      <c r="R22" s="774"/>
      <c r="S22" s="775"/>
      <c r="T22" s="774"/>
      <c r="U22" s="775"/>
      <c r="V22" s="774"/>
      <c r="W22" s="775"/>
      <c r="X22" s="1815"/>
      <c r="Y22" s="3205"/>
      <c r="Z22" s="1816"/>
      <c r="AA22" s="1813">
        <v>1</v>
      </c>
      <c r="AB22" s="1813">
        <v>1</v>
      </c>
      <c r="AC22" s="1813">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7" t="str">
        <f t="shared" si="8"/>
        <v>公共配套设施</v>
      </c>
      <c r="R23" s="770" t="s">
        <v>17</v>
      </c>
      <c r="S23" s="771">
        <f>F23</f>
        <v>100</v>
      </c>
      <c r="T23" s="770" t="s">
        <v>17</v>
      </c>
      <c r="U23" s="771">
        <f>H23</f>
        <v>100</v>
      </c>
      <c r="V23" s="770" t="s">
        <v>17</v>
      </c>
      <c r="W23" s="771">
        <f>J23</f>
        <v>100</v>
      </c>
      <c r="X23" s="772"/>
      <c r="Y23" s="3205"/>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5"/>
      <c r="Q24" s="1797"/>
      <c r="R24" s="770"/>
      <c r="S24" s="771"/>
      <c r="T24" s="770"/>
      <c r="U24" s="771"/>
      <c r="V24" s="770"/>
      <c r="W24" s="771"/>
      <c r="X24" s="772"/>
      <c r="Y24" s="3205"/>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7"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5"/>
      <c r="Q26" s="1797"/>
      <c r="R26" s="770"/>
      <c r="S26" s="771"/>
      <c r="T26" s="770"/>
      <c r="U26" s="771"/>
      <c r="V26" s="770"/>
      <c r="W26" s="771"/>
      <c r="X26" s="772"/>
      <c r="Y26" s="320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5"/>
      <c r="Z27" s="1816" t="str">
        <f t="shared" ref="Z27:Z40" si="13">Q27</f>
        <v>临街状况</v>
      </c>
      <c r="AA27" s="1813">
        <f t="shared" si="3"/>
        <v>1</v>
      </c>
      <c r="AB27" s="1813">
        <f t="shared" si="4"/>
        <v>1</v>
      </c>
      <c r="AC27" s="1813">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2" t="str">
        <f t="shared" si="8"/>
        <v>毗邻道路的类型与等级</v>
      </c>
      <c r="R28" s="774" t="s">
        <v>17</v>
      </c>
      <c r="S28" s="775">
        <f t="shared" si="10"/>
        <v>100</v>
      </c>
      <c r="T28" s="774" t="s">
        <v>17</v>
      </c>
      <c r="U28" s="775">
        <f t="shared" si="11"/>
        <v>100</v>
      </c>
      <c r="V28" s="774" t="s">
        <v>17</v>
      </c>
      <c r="W28" s="775">
        <f t="shared" si="12"/>
        <v>100</v>
      </c>
      <c r="X28" s="1815"/>
      <c r="Y28" s="3205"/>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5"/>
      <c r="Q29" s="1812"/>
      <c r="R29" s="774"/>
      <c r="S29" s="775"/>
      <c r="T29" s="774"/>
      <c r="U29" s="775"/>
      <c r="V29" s="774"/>
      <c r="W29" s="775"/>
      <c r="X29" s="1815"/>
      <c r="Y29" s="3205"/>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2" t="str">
        <f t="shared" si="8"/>
        <v>土地级别</v>
      </c>
      <c r="R30" s="774" t="s">
        <v>17</v>
      </c>
      <c r="S30" s="775">
        <f t="shared" si="10"/>
        <v>100</v>
      </c>
      <c r="T30" s="774" t="s">
        <v>17</v>
      </c>
      <c r="U30" s="775">
        <f t="shared" si="11"/>
        <v>100</v>
      </c>
      <c r="V30" s="774" t="s">
        <v>17</v>
      </c>
      <c r="W30" s="775">
        <f t="shared" si="12"/>
        <v>100</v>
      </c>
      <c r="X30" s="1815"/>
      <c r="Y30" s="3205"/>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2">
        <f t="shared" si="8"/>
        <v>111</v>
      </c>
      <c r="R31" s="774" t="s">
        <v>17</v>
      </c>
      <c r="S31" s="775">
        <f t="shared" si="10"/>
        <v>100</v>
      </c>
      <c r="T31" s="774" t="s">
        <v>17</v>
      </c>
      <c r="U31" s="775">
        <f t="shared" si="11"/>
        <v>100</v>
      </c>
      <c r="V31" s="774" t="s">
        <v>17</v>
      </c>
      <c r="W31" s="775">
        <f t="shared" si="12"/>
        <v>100</v>
      </c>
      <c r="X31" s="1815"/>
      <c r="Y31" s="3205"/>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2564</v>
      </c>
      <c r="Q32" s="1812">
        <f t="shared" si="8"/>
        <v>111</v>
      </c>
      <c r="R32" s="774" t="s">
        <v>17</v>
      </c>
      <c r="S32" s="775">
        <f t="shared" si="10"/>
        <v>100</v>
      </c>
      <c r="T32" s="774" t="s">
        <v>17</v>
      </c>
      <c r="U32" s="775">
        <f t="shared" si="11"/>
        <v>100</v>
      </c>
      <c r="V32" s="774" t="s">
        <v>17</v>
      </c>
      <c r="W32" s="775">
        <f t="shared" si="12"/>
        <v>100</v>
      </c>
      <c r="X32" s="1815"/>
      <c r="Y32" s="3209" t="s">
        <v>2564</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2">
        <f t="shared" si="8"/>
        <v>111</v>
      </c>
      <c r="R33" s="777" t="s">
        <v>17</v>
      </c>
      <c r="S33" s="778">
        <f t="shared" si="10"/>
        <v>100</v>
      </c>
      <c r="T33" s="777" t="s">
        <v>17</v>
      </c>
      <c r="U33" s="778">
        <f t="shared" si="11"/>
        <v>100</v>
      </c>
      <c r="V33" s="777" t="s">
        <v>17</v>
      </c>
      <c r="W33" s="778">
        <f t="shared" si="12"/>
        <v>100</v>
      </c>
      <c r="X33" s="779"/>
      <c r="Y33" s="3209"/>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2" t="str">
        <f>B34</f>
        <v>宗地面积</v>
      </c>
      <c r="R34" s="774" t="s">
        <v>17</v>
      </c>
      <c r="S34" s="775" t="e">
        <f t="shared" si="10"/>
        <v>#N/A</v>
      </c>
      <c r="T34" s="774" t="s">
        <v>17</v>
      </c>
      <c r="U34" s="775" t="e">
        <f t="shared" si="11"/>
        <v>#N/A</v>
      </c>
      <c r="V34" s="774" t="s">
        <v>17</v>
      </c>
      <c r="W34" s="775" t="e">
        <f t="shared" si="12"/>
        <v>#N/A</v>
      </c>
      <c r="X34" s="1815"/>
      <c r="Y34" s="3209"/>
      <c r="Z34" s="1816" t="str">
        <f t="shared" si="13"/>
        <v>宗地面积</v>
      </c>
      <c r="AA34" s="1813" t="e">
        <f t="shared" si="3"/>
        <v>#N/A</v>
      </c>
      <c r="AB34" s="1813" t="e">
        <f t="shared" si="4"/>
        <v>#N/A</v>
      </c>
      <c r="AC34" s="1813"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9"/>
      <c r="Q35" s="1812" t="str">
        <f t="shared" ref="Q35:Q40" si="14">B35</f>
        <v>宗地形状</v>
      </c>
      <c r="R35" s="774" t="s">
        <v>17</v>
      </c>
      <c r="S35" s="775">
        <f t="shared" si="10"/>
        <v>100</v>
      </c>
      <c r="T35" s="774" t="s">
        <v>17</v>
      </c>
      <c r="U35" s="775">
        <f t="shared" si="11"/>
        <v>100</v>
      </c>
      <c r="V35" s="774" t="s">
        <v>17</v>
      </c>
      <c r="W35" s="775">
        <f t="shared" si="12"/>
        <v>100</v>
      </c>
      <c r="X35" s="1815"/>
      <c r="Y35" s="3209"/>
      <c r="Z35" s="1816" t="str">
        <f t="shared" si="13"/>
        <v>宗地形状</v>
      </c>
      <c r="AA35" s="1813">
        <f t="shared" si="3"/>
        <v>1</v>
      </c>
      <c r="AB35" s="1813">
        <f t="shared" si="4"/>
        <v>1</v>
      </c>
      <c r="AC35" s="1813">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9"/>
      <c r="Q36" s="1812"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9" t="s">
        <v>2564</v>
      </c>
      <c r="Q37" s="1812" t="str">
        <f t="shared" si="14"/>
        <v>工程地质条件</v>
      </c>
      <c r="R37" s="774" t="s">
        <v>17</v>
      </c>
      <c r="S37" s="775">
        <f t="shared" si="10"/>
        <v>100</v>
      </c>
      <c r="T37" s="774" t="s">
        <v>17</v>
      </c>
      <c r="U37" s="775">
        <f t="shared" si="11"/>
        <v>100</v>
      </c>
      <c r="V37" s="774" t="s">
        <v>17</v>
      </c>
      <c r="W37" s="775">
        <f t="shared" si="12"/>
        <v>100</v>
      </c>
      <c r="X37" s="1815"/>
      <c r="Y37" s="3209"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2">
        <f t="shared" si="14"/>
        <v>111</v>
      </c>
      <c r="R38" s="774" t="s">
        <v>17</v>
      </c>
      <c r="S38" s="775">
        <f t="shared" si="10"/>
        <v>100</v>
      </c>
      <c r="T38" s="774" t="s">
        <v>17</v>
      </c>
      <c r="U38" s="775">
        <f t="shared" si="11"/>
        <v>100</v>
      </c>
      <c r="V38" s="774" t="s">
        <v>17</v>
      </c>
      <c r="W38" s="775">
        <f t="shared" si="12"/>
        <v>100</v>
      </c>
      <c r="X38" s="1815"/>
      <c r="Y38" s="320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2">
        <f t="shared" si="14"/>
        <v>111</v>
      </c>
      <c r="R39" s="774" t="s">
        <v>17</v>
      </c>
      <c r="S39" s="775">
        <f t="shared" si="10"/>
        <v>100</v>
      </c>
      <c r="T39" s="774" t="s">
        <v>17</v>
      </c>
      <c r="U39" s="775">
        <f t="shared" si="11"/>
        <v>100</v>
      </c>
      <c r="V39" s="774" t="s">
        <v>17</v>
      </c>
      <c r="W39" s="775">
        <f t="shared" si="12"/>
        <v>100</v>
      </c>
      <c r="X39" s="1815"/>
      <c r="Y39" s="3209"/>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2">
        <f t="shared" si="14"/>
        <v>111</v>
      </c>
      <c r="R40" s="777" t="s">
        <v>17</v>
      </c>
      <c r="S40" s="778">
        <f t="shared" si="10"/>
        <v>100</v>
      </c>
      <c r="T40" s="777" t="s">
        <v>17</v>
      </c>
      <c r="U40" s="778">
        <f t="shared" si="11"/>
        <v>100</v>
      </c>
      <c r="V40" s="777" t="s">
        <v>17</v>
      </c>
      <c r="W40" s="778">
        <f t="shared" si="12"/>
        <v>100</v>
      </c>
      <c r="X40" s="779"/>
      <c r="Y40" s="3209"/>
      <c r="Z40" s="780">
        <f t="shared" si="13"/>
        <v>111</v>
      </c>
      <c r="AA40" s="1813">
        <f t="shared" si="3"/>
        <v>1</v>
      </c>
      <c r="AB40" s="1813">
        <f t="shared" si="4"/>
        <v>1</v>
      </c>
      <c r="AC40" s="1813">
        <f t="shared" si="5"/>
        <v>1</v>
      </c>
    </row>
    <row r="41" spans="1:29" ht="15">
      <c r="A41" s="479" t="s">
        <v>2719</v>
      </c>
      <c r="B41" s="2709" t="s">
        <v>2799</v>
      </c>
      <c r="C41" s="682" t="s">
        <v>1</v>
      </c>
      <c r="D41" s="481"/>
      <c r="E41" s="482"/>
      <c r="F41" s="483"/>
      <c r="G41" s="484"/>
      <c r="H41" s="485"/>
      <c r="I41" s="482"/>
      <c r="J41" s="485"/>
      <c r="K41" s="783"/>
      <c r="L41" s="1146"/>
      <c r="M41" s="1134"/>
      <c r="N41" s="1134"/>
      <c r="O41" s="1147"/>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10" t="s">
        <v>2759</v>
      </c>
      <c r="D50" s="2711" t="s">
        <v>2760</v>
      </c>
      <c r="E50" s="686" t="s">
        <v>2761</v>
      </c>
      <c r="F50" s="687" t="s">
        <v>2762</v>
      </c>
      <c r="G50" s="3185" t="s">
        <v>2763</v>
      </c>
      <c r="H50" s="3231"/>
      <c r="I50" s="1816" t="s">
        <v>2800</v>
      </c>
      <c r="J50" s="1816">
        <f>项目基本情况!F35</f>
        <v>0</v>
      </c>
      <c r="K50" s="2713" t="s">
        <v>2765</v>
      </c>
      <c r="L50" s="1109"/>
      <c r="M50" s="1147"/>
      <c r="N50" s="1147"/>
      <c r="O50" s="1147"/>
    </row>
    <row r="51" spans="1:17" s="692" customFormat="1">
      <c r="A51" s="688" t="s">
        <v>2766</v>
      </c>
      <c r="B51" s="689" t="e">
        <f>C43</f>
        <v>#DIV/0!</v>
      </c>
      <c r="C51" s="690">
        <v>1</v>
      </c>
      <c r="D51" s="1166">
        <v>1</v>
      </c>
      <c r="E51" s="690">
        <f>'数据-汇总表'!E8+'数据-汇总表'!E9</f>
        <v>47850.16</v>
      </c>
      <c r="F51" s="691" t="e">
        <f t="shared" ref="F51:F60" si="15">ROUND(B51*E51/10000,0)</f>
        <v>#DIV/0!</v>
      </c>
      <c r="G51" s="3184"/>
      <c r="H51" s="3202"/>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32"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4"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14723.029999999999</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4"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5"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1026</v>
      </c>
      <c r="E61" s="696">
        <f>IF(B41="楼面地价",SUM(E51:E60),'数据-汇总表'!D3)</f>
        <v>16031.32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2781</v>
      </c>
      <c r="B65" s="1362"/>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21" t="s">
        <v>2801</v>
      </c>
      <c r="B66" s="332" t="str">
        <f>"北京市平均增长率"&amp;TEXT(基准地价修正!P24,"0.00%")</f>
        <v>北京市平均增长率1.36%</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2803</v>
      </c>
      <c r="B1" s="241"/>
      <c r="C1" s="245" t="s">
        <v>2804</v>
      </c>
      <c r="D1" s="388">
        <f>SUM(D29:D30,D33:D39)</f>
        <v>0</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6" t="s">
        <v>2818</v>
      </c>
      <c r="D3" s="2727" t="s">
        <v>2819</v>
      </c>
      <c r="E3" s="2732"/>
      <c r="F3" s="2733" t="s">
        <v>2820</v>
      </c>
      <c r="G3" s="916">
        <f>IF(F3="宗地容积率",'数据-汇总表'!I4,IF(F3="估价对象容积率",'数据-汇总表'!I6,'数据-汇总表'!I7))</f>
        <v>2.75</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1"/>
      <c r="B4" s="3252"/>
      <c r="C4" s="3252"/>
      <c r="D4" s="3253"/>
      <c r="E4" s="3253"/>
      <c r="F4" s="3253"/>
      <c r="G4" s="3253"/>
      <c r="H4" s="3253"/>
      <c r="I4" s="3253"/>
      <c r="J4" s="3254"/>
      <c r="K4" s="1373"/>
      <c r="L4" s="2731"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2825</v>
      </c>
      <c r="C5" s="917" t="e">
        <f>ROUND(IF(E2="商业",IF(F16="增加",C6*C7+C16,C6*C7-C16),IF(E2="住宅",IF(F16="增加",C6*C12+C16,C6*C12-C16),IF(F16="增加",C6+C16,C6-C16))),0)</f>
        <v>#DIV/0!</v>
      </c>
      <c r="D5" s="1789" t="e">
        <f>ROUND(IF(F16="增加",C6+C16,C6-C16),0)</f>
        <v>#DIV/0!</v>
      </c>
      <c r="E5" s="1789"/>
      <c r="F5" s="2736"/>
      <c r="G5" s="2737"/>
      <c r="H5" s="2737"/>
      <c r="I5" s="2737"/>
      <c r="J5" s="2738"/>
      <c r="K5" s="2739"/>
      <c r="L5" s="2731"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2827</v>
      </c>
      <c r="B6" s="2745" t="s">
        <v>2828</v>
      </c>
      <c r="C6" s="918">
        <f>SUMIF(L1:L12,G2,M1:M12)</f>
        <v>0</v>
      </c>
      <c r="D6" s="2746" t="s">
        <v>2829</v>
      </c>
      <c r="E6" s="2747"/>
      <c r="F6" s="2747"/>
      <c r="G6" s="2748"/>
      <c r="H6" s="2748"/>
      <c r="I6" s="2748"/>
      <c r="J6" s="2749"/>
      <c r="K6" s="1844"/>
      <c r="L6" s="2731"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37" t="str">
        <f>IF(E2="商业",IF(C8="不临58条商业街","",2),"")</f>
        <v/>
      </c>
      <c r="B7" s="2750" t="s">
        <v>2831</v>
      </c>
      <c r="C7" s="919" t="e">
        <f>IF(C8="不临58条商业街",1,ROUND(1+(1.6*E8+1.2*E9+0.8*E10+0.4*E11)*C9,4))</f>
        <v>#DIV/0!</v>
      </c>
      <c r="D7" s="2751" t="s">
        <v>2832</v>
      </c>
      <c r="E7" s="948"/>
      <c r="F7" s="2752"/>
      <c r="G7" s="2753"/>
      <c r="H7" s="2753"/>
      <c r="I7" s="2753"/>
      <c r="J7" s="2754"/>
      <c r="K7" s="1844"/>
      <c r="L7" s="2731"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2.75</v>
      </c>
      <c r="AA7" s="1608"/>
      <c r="AB7" s="1608"/>
      <c r="AC7" s="1609"/>
      <c r="AD7" s="1610"/>
      <c r="AE7" s="1610"/>
      <c r="AF7" s="1610"/>
      <c r="AG7" s="1610"/>
      <c r="AH7" s="1610"/>
      <c r="AI7" s="1610"/>
      <c r="AJ7" s="1611"/>
    </row>
    <row r="8" spans="1:36" ht="15">
      <c r="A8" s="3238"/>
      <c r="B8" s="198" t="s">
        <v>2836</v>
      </c>
      <c r="C8" s="2755"/>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48" t="s">
        <v>2839</v>
      </c>
      <c r="X8" s="3249"/>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38"/>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0"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8"/>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38"/>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0" t="s">
        <v>2863</v>
      </c>
      <c r="X11" s="1616" t="s">
        <v>2864</v>
      </c>
      <c r="Y11" s="1617">
        <f>$G$3</f>
        <v>2.75</v>
      </c>
      <c r="Z11" s="1617">
        <f t="shared" ref="Z11:AJ11" si="3">$G$3</f>
        <v>2.75</v>
      </c>
      <c r="AA11" s="1617">
        <f t="shared" si="3"/>
        <v>2.75</v>
      </c>
      <c r="AB11" s="1617">
        <f t="shared" si="3"/>
        <v>2.75</v>
      </c>
      <c r="AC11" s="1617">
        <f t="shared" si="3"/>
        <v>2.75</v>
      </c>
      <c r="AD11" s="1617">
        <f t="shared" si="3"/>
        <v>2.75</v>
      </c>
      <c r="AE11" s="1617">
        <f t="shared" si="3"/>
        <v>2.75</v>
      </c>
      <c r="AF11" s="1617">
        <f t="shared" si="3"/>
        <v>2.75</v>
      </c>
      <c r="AG11" s="1617">
        <f t="shared" si="3"/>
        <v>2.75</v>
      </c>
      <c r="AH11" s="1617">
        <f t="shared" si="3"/>
        <v>2.75</v>
      </c>
      <c r="AI11" s="1617">
        <f t="shared" si="3"/>
        <v>2.75</v>
      </c>
      <c r="AJ11" s="1617">
        <f t="shared" si="3"/>
        <v>2.75</v>
      </c>
    </row>
    <row r="12" spans="1:36" ht="25.5" thickBot="1">
      <c r="A12" s="3237"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0"/>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5"/>
      <c r="B13" s="2769" t="s">
        <v>2870</v>
      </c>
      <c r="C13" s="2770" t="s">
        <v>2871</v>
      </c>
      <c r="D13" s="1810" t="s">
        <v>2872</v>
      </c>
      <c r="E13" s="1810" t="s">
        <v>2873</v>
      </c>
      <c r="F13" s="30" t="s">
        <v>2874</v>
      </c>
      <c r="G13" s="2771" t="s">
        <v>2875</v>
      </c>
      <c r="H13" s="2771" t="s">
        <v>2875</v>
      </c>
      <c r="I13" s="2771" t="s">
        <v>2875</v>
      </c>
      <c r="J13" s="2772" t="s">
        <v>2875</v>
      </c>
      <c r="K13" s="1373"/>
      <c r="L13" s="1373"/>
      <c r="M13" s="1373"/>
      <c r="N13" s="1373"/>
      <c r="O13" s="1373"/>
      <c r="P13" s="1373"/>
      <c r="Q13" s="1373"/>
      <c r="R13" s="1604">
        <v>12</v>
      </c>
      <c r="S13" s="1605"/>
      <c r="T13" s="1604" t="e">
        <f t="shared" si="0"/>
        <v>#DIV/0!</v>
      </c>
      <c r="U13" s="1605"/>
      <c r="V13" s="1604" t="e">
        <f t="shared" si="1"/>
        <v>#DIV/0!</v>
      </c>
      <c r="W13" s="3250"/>
      <c r="X13" s="1618"/>
      <c r="Y13" s="1615">
        <f>(-0.163*(Y12^2)-0.59*Y12+7617)*(10^(-4))/Y11</f>
        <v>0.27698181818181822</v>
      </c>
      <c r="Z13" s="1615">
        <f t="shared" ref="Z13:AJ13" si="5">(-0.163*(Z12^2)-0.59*Z12+7617)*(10^(-4))/Z11</f>
        <v>0.27698181818181822</v>
      </c>
      <c r="AA13" s="1615">
        <f t="shared" si="5"/>
        <v>0.27698181818181822</v>
      </c>
      <c r="AB13" s="1615">
        <f t="shared" si="5"/>
        <v>0.27698181818181822</v>
      </c>
      <c r="AC13" s="1615">
        <f t="shared" si="5"/>
        <v>0.27698181818181822</v>
      </c>
      <c r="AD13" s="1615">
        <f t="shared" si="5"/>
        <v>0.27698181818181822</v>
      </c>
      <c r="AE13" s="1615">
        <f t="shared" si="5"/>
        <v>0.27698181818181822</v>
      </c>
      <c r="AF13" s="1615">
        <f t="shared" si="5"/>
        <v>0.27698181818181822</v>
      </c>
      <c r="AG13" s="1615">
        <f t="shared" si="5"/>
        <v>0.27698181818181822</v>
      </c>
      <c r="AH13" s="1615">
        <f t="shared" si="5"/>
        <v>0.27698181818181822</v>
      </c>
      <c r="AI13" s="1615">
        <f t="shared" si="5"/>
        <v>0.27698181818181822</v>
      </c>
      <c r="AJ13" s="1615">
        <f t="shared" si="5"/>
        <v>0.27698181818181822</v>
      </c>
    </row>
    <row r="14" spans="1:36" ht="15">
      <c r="A14" s="3255"/>
      <c r="B14" s="2773"/>
      <c r="C14" s="2774"/>
      <c r="D14" s="2775"/>
      <c r="E14" s="2775"/>
      <c r="F14" s="2776"/>
      <c r="G14" s="2777" t="s">
        <v>2876</v>
      </c>
      <c r="H14" s="2778"/>
      <c r="I14" s="2779"/>
      <c r="J14" s="2780"/>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6"/>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37" t="s">
        <v>2882</v>
      </c>
      <c r="B16" s="2750" t="s">
        <v>2883</v>
      </c>
      <c r="C16" s="1803" t="e">
        <f>ROUND(SUM(G17:J17)/C17,0)</f>
        <v>#DIV/0!</v>
      </c>
      <c r="D16" s="2784" t="s">
        <v>2884</v>
      </c>
      <c r="E16" s="2785"/>
      <c r="F16" s="2786"/>
      <c r="G16" s="2787"/>
      <c r="H16" s="2787"/>
      <c r="I16" s="2787"/>
      <c r="J16" s="2788"/>
      <c r="K16" s="1373"/>
      <c r="L16" s="2789"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38"/>
      <c r="B17" s="2790" t="s">
        <v>2886</v>
      </c>
      <c r="C17" s="924">
        <f>SUMPRODUCT((修正!A2:A5=E2)*(修正!B1:M1=G2)*(修正!B2:M5))</f>
        <v>0</v>
      </c>
      <c r="D17" s="2791"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2890</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2891</v>
      </c>
      <c r="C19" s="927" t="e">
        <f>ROUND(IF(H19="按公示增长率计算",SUMPRODUCT((地价!A3:A25=YEAR(G19)&amp;"-"&amp;ROUNDUP(MONTH(G19)/3,0))*(地价!X2:AB2=E2)*(地价!X3:AB25)),IF(H19="地价指数",M20/M19,(1+I19)^O19)),4)</f>
        <v>#DIV/0!</v>
      </c>
      <c r="D19" s="2802" t="s">
        <v>2892</v>
      </c>
      <c r="E19" s="928">
        <v>41640</v>
      </c>
      <c r="F19" s="2802" t="s">
        <v>2893</v>
      </c>
      <c r="G19" s="929">
        <f>'数据-取费表'!B2</f>
        <v>43487</v>
      </c>
      <c r="H19" s="2803" t="s">
        <v>2894</v>
      </c>
      <c r="I19" s="930" t="str">
        <f>IF(H19="季度增幅（自定义）",SUMIF(N21:N24,E2,O21:O24),"")</f>
        <v/>
      </c>
      <c r="J19" s="2800"/>
      <c r="K19" s="1380"/>
      <c r="L19" s="2804" t="s">
        <v>2895</v>
      </c>
      <c r="M19" s="1736">
        <f>ROUND(SUMIF(地价!B2:F2,E2,地价!B25:F25),0)</f>
        <v>0</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ROUND(POWER(1+G20,J20-I20)*(POWER(1+G20,I20)-1)/(POWER(1+G20,J20)-1),4)</f>
        <v>#DIV/0!</v>
      </c>
      <c r="D20" s="2811" t="s">
        <v>2898</v>
      </c>
      <c r="E20" s="1770">
        <f ca="1">存贷款利率!D4/100</f>
        <v>4.3499999999999997E-2</v>
      </c>
      <c r="F20" s="2811" t="s">
        <v>2889</v>
      </c>
      <c r="G20" s="937">
        <f>SUMIF(M15:P15,E2,M17:P17)</f>
        <v>0</v>
      </c>
      <c r="H20" s="2811" t="s">
        <v>2899</v>
      </c>
      <c r="I20" s="938" t="e">
        <f>SUMIF('数据-取费表'!C6:C15,E2,'数据-取费表'!F6:F15)/COUNTIF('数据-取费表'!C6:C15,E2)</f>
        <v>#DIV/0!</v>
      </c>
      <c r="J20" s="939">
        <f>IF(E2="住宅",70,IF(E2="商业",40,50))</f>
        <v>50</v>
      </c>
      <c r="K20" s="1380"/>
      <c r="L20" s="2812" t="s">
        <v>2900</v>
      </c>
      <c r="M20" s="1737">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2904</v>
      </c>
      <c r="C21" s="940">
        <f>IF(B21="容积率修正",IF(G3&lt;=10,D22,J22),C23)</f>
        <v>0</v>
      </c>
      <c r="D21" s="2818"/>
      <c r="E21" s="2818"/>
      <c r="F21" s="2818"/>
      <c r="G21" s="2818"/>
      <c r="H21" s="2818"/>
      <c r="I21" s="2818"/>
      <c r="J21" s="2819"/>
      <c r="K21" s="1380"/>
      <c r="N21" s="2820" t="s">
        <v>2905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2" t="s">
        <v>2908</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0</v>
      </c>
      <c r="D24" s="2798"/>
      <c r="E24" s="2828"/>
      <c r="F24" s="2828"/>
      <c r="G24" s="2828"/>
      <c r="H24" s="2828"/>
      <c r="I24" s="2828"/>
      <c r="J24" s="2829"/>
      <c r="K24" s="1380"/>
      <c r="N24" s="2830" t="s">
        <v>2914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4"/>
      <c r="B26" s="2821" t="s">
        <v>2917</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t="e">
        <f>ROUND(C5*C18*C19*C20*C21*C24,0)</f>
        <v>#DIV/0!</v>
      </c>
      <c r="D29" s="2850"/>
      <c r="E29" s="945" t="e">
        <f>ROUND(C29*D29/10000,0)</f>
        <v>#DIV/0!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t="e">
        <f>ROUND(IF(E2="工业",C29*M39,C29*M38),0)</f>
        <v>#DIV/0!</v>
      </c>
      <c r="D30" s="2856"/>
      <c r="E30" s="945" t="e">
        <f>ROUND(C30*D30/10000,0)</f>
        <v>#DIV/0!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5" t="s">
        <v>2931</v>
      </c>
      <c r="B33" s="2866" t="s">
        <v>2932</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70" t="s">
        <v>2933</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70" t="s">
        <v>2934</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47"/>
      <c r="B36" s="2770" t="s">
        <v>2935</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3051</v>
      </c>
      <c r="C41" s="388" t="e">
        <f>ROUND(POWER(1+E41,H41-G41)*(POWER(1+E41,G41)-1)/(POWER(1+E41,H41)-1),4)</f>
        <v>#DIV/0!</v>
      </c>
      <c r="D41" s="200" t="s">
        <v>2889</v>
      </c>
      <c r="E41" s="2942">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2943</v>
      </c>
      <c r="B47" s="1811" t="s">
        <v>2944</v>
      </c>
      <c r="C47" s="1811" t="s">
        <v>2945</v>
      </c>
      <c r="D47" s="1811" t="s">
        <v>2946</v>
      </c>
      <c r="E47" s="819" t="s">
        <v>2947</v>
      </c>
      <c r="F47" s="2884" t="s">
        <v>2948</v>
      </c>
      <c r="G47" s="1811" t="s">
        <v>754</v>
      </c>
      <c r="H47" s="2885"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2959</v>
      </c>
      <c r="B54" s="1727"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2943</v>
      </c>
      <c r="B58" s="1811"/>
      <c r="C58" s="1811" t="s">
        <v>2945</v>
      </c>
      <c r="D58" s="1811" t="s">
        <v>2946</v>
      </c>
      <c r="E58" s="819" t="s">
        <v>2947</v>
      </c>
      <c r="F58" s="2884" t="s">
        <v>2963</v>
      </c>
      <c r="G58" s="1811" t="s">
        <v>754</v>
      </c>
      <c r="H58" s="2885"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2959</v>
      </c>
      <c r="B65" s="1727"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2960</v>
      </c>
      <c r="B66" s="1727"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2943</v>
      </c>
      <c r="B69" s="1811"/>
      <c r="C69" s="1811" t="s">
        <v>2945</v>
      </c>
      <c r="D69" s="1811" t="s">
        <v>2946</v>
      </c>
      <c r="E69" s="819" t="s">
        <v>2947</v>
      </c>
      <c r="F69" s="2884" t="s">
        <v>2963</v>
      </c>
      <c r="G69" s="1811" t="s">
        <v>754</v>
      </c>
      <c r="H69" s="2885"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2959</v>
      </c>
      <c r="B74" s="1727"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2960</v>
      </c>
      <c r="B75" s="1727"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v>
      </c>
      <c r="C79" s="814"/>
      <c r="D79" s="814"/>
      <c r="E79" s="815"/>
      <c r="F79" s="2882"/>
      <c r="G79" s="6"/>
      <c r="H79" s="6"/>
      <c r="I79" s="6"/>
      <c r="J79" s="7"/>
      <c r="K79" s="7"/>
      <c r="L79" s="7"/>
      <c r="M79" s="7"/>
      <c r="N79" s="7"/>
      <c r="Z79" s="2725"/>
      <c r="AA79" s="2801"/>
      <c r="AG79" s="1375"/>
      <c r="AK79" s="2801"/>
    </row>
    <row r="80" spans="1:37" ht="24.75">
      <c r="A80" s="2883" t="s">
        <v>2943</v>
      </c>
      <c r="B80" s="1811"/>
      <c r="C80" s="1811" t="s">
        <v>2945</v>
      </c>
      <c r="D80" s="1811" t="s">
        <v>2946</v>
      </c>
      <c r="E80" s="819" t="s">
        <v>2947</v>
      </c>
      <c r="F80" s="2884" t="s">
        <v>2963</v>
      </c>
      <c r="G80" s="1811" t="s">
        <v>754</v>
      </c>
      <c r="H80" s="2885" t="s">
        <v>2949</v>
      </c>
      <c r="I80" s="1811" t="s">
        <v>2950</v>
      </c>
      <c r="J80" s="603" t="s">
        <v>2596</v>
      </c>
      <c r="K80" s="603" t="s">
        <v>2597</v>
      </c>
      <c r="L80" s="603" t="s">
        <v>2598</v>
      </c>
      <c r="M80" s="603" t="s">
        <v>2599</v>
      </c>
      <c r="N80" s="603" t="s">
        <v>2600</v>
      </c>
      <c r="Z80" s="2725"/>
      <c r="AA80" s="2801"/>
      <c r="AG80" s="1375"/>
      <c r="AK80" s="2801"/>
    </row>
    <row r="81" spans="1:37" ht="38.25">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2959</v>
      </c>
      <c r="B85" s="1727"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2960</v>
      </c>
      <c r="B86" s="1727"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39" t="s">
        <v>2973</v>
      </c>
      <c r="B90" s="3239"/>
      <c r="C90" s="3239"/>
      <c r="D90" s="3239"/>
      <c r="E90" s="3239"/>
      <c r="F90" s="3239"/>
      <c r="G90" s="3239"/>
      <c r="H90" s="3239"/>
      <c r="I90" s="3239"/>
      <c r="J90" s="3239"/>
      <c r="K90" s="2897"/>
      <c r="L90" s="2897"/>
      <c r="M90" s="2897"/>
      <c r="N90" s="2897"/>
    </row>
    <row r="91" spans="1:37">
      <c r="A91" s="3241" t="s">
        <v>2974</v>
      </c>
      <c r="B91" s="3241" t="s">
        <v>2975</v>
      </c>
      <c r="C91" s="2851" t="s">
        <v>2976</v>
      </c>
      <c r="D91" s="2852"/>
      <c r="E91" s="2852"/>
      <c r="F91" s="2852"/>
      <c r="G91" s="2852"/>
      <c r="H91" s="2852"/>
      <c r="I91" s="2852"/>
      <c r="J91" s="2898"/>
      <c r="K91" s="2899"/>
      <c r="L91" s="2899"/>
      <c r="M91" s="2899"/>
      <c r="N91" s="2899"/>
    </row>
    <row r="92" spans="1:37">
      <c r="A92" s="3241"/>
      <c r="B92" s="3241"/>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4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3"/>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2" t="s">
        <v>2978</v>
      </c>
      <c r="B101" s="2904" t="s">
        <v>2979</v>
      </c>
      <c r="C101" s="2905">
        <f>$G$3</f>
        <v>2.75</v>
      </c>
      <c r="D101" s="2905">
        <f t="shared" ref="D101:N101" si="31">$G$3</f>
        <v>2.75</v>
      </c>
      <c r="E101" s="2905">
        <f t="shared" si="31"/>
        <v>2.75</v>
      </c>
      <c r="F101" s="2905">
        <f t="shared" si="31"/>
        <v>2.75</v>
      </c>
      <c r="G101" s="2905">
        <f t="shared" si="31"/>
        <v>2.75</v>
      </c>
      <c r="H101" s="2905">
        <f t="shared" si="31"/>
        <v>2.75</v>
      </c>
      <c r="I101" s="2905">
        <f t="shared" si="31"/>
        <v>2.75</v>
      </c>
      <c r="J101" s="2905">
        <f t="shared" si="31"/>
        <v>2.75</v>
      </c>
      <c r="K101" s="2905">
        <f t="shared" si="31"/>
        <v>2.75</v>
      </c>
      <c r="L101" s="2905">
        <f t="shared" si="31"/>
        <v>2.75</v>
      </c>
      <c r="M101" s="2905">
        <f t="shared" si="31"/>
        <v>2.75</v>
      </c>
      <c r="N101" s="2905">
        <f t="shared" si="31"/>
        <v>2.75</v>
      </c>
    </row>
    <row r="102" spans="1:14">
      <c r="A102" s="3243"/>
      <c r="B102" s="2900">
        <v>1</v>
      </c>
      <c r="C102" s="2901">
        <f>1.9362/C101</f>
        <v>0.70407272727272729</v>
      </c>
      <c r="D102" s="2901">
        <f>1.9362/D101</f>
        <v>0.70407272727272729</v>
      </c>
      <c r="E102" s="2901">
        <f>1.8629/E101</f>
        <v>0.67741818181818181</v>
      </c>
      <c r="F102" s="2901">
        <f>1.8629/F101</f>
        <v>0.67741818181818181</v>
      </c>
      <c r="G102" s="2901">
        <f>1.8629/G101</f>
        <v>0.67741818181818181</v>
      </c>
      <c r="H102" s="2901">
        <f>1.8629/H101</f>
        <v>0.67741818181818181</v>
      </c>
      <c r="I102" s="2901">
        <f>1.8629/I101</f>
        <v>0.67741818181818181</v>
      </c>
      <c r="J102" s="2901">
        <f>1.942/J101</f>
        <v>0.70618181818181813</v>
      </c>
      <c r="K102" s="2901">
        <f>1.942/K101</f>
        <v>0.70618181818181813</v>
      </c>
      <c r="L102" s="2901">
        <f>1.942/L101</f>
        <v>0.70618181818181813</v>
      </c>
      <c r="M102" s="2901">
        <f>1.942/M101</f>
        <v>0.70618181818181813</v>
      </c>
      <c r="N102" s="2901">
        <f>1.942/N101</f>
        <v>0.70618181818181813</v>
      </c>
    </row>
    <row r="103" spans="1:14">
      <c r="A103" s="3243"/>
      <c r="B103" s="2900">
        <v>2</v>
      </c>
      <c r="C103" s="2901">
        <f>1.4198/C101</f>
        <v>0.51629090909090902</v>
      </c>
      <c r="D103" s="2901">
        <f>1.4198/D101</f>
        <v>0.51629090909090902</v>
      </c>
      <c r="E103" s="2901">
        <f>1.3372/E101</f>
        <v>0.48625454545454544</v>
      </c>
      <c r="F103" s="2901">
        <f>1.3372/F101</f>
        <v>0.48625454545454544</v>
      </c>
      <c r="G103" s="2901">
        <f>1.3372/G101</f>
        <v>0.48625454545454544</v>
      </c>
      <c r="H103" s="2901">
        <f>1.3372/H101</f>
        <v>0.48625454545454544</v>
      </c>
      <c r="I103" s="2901">
        <f>1.3372/I101</f>
        <v>0.48625454545454544</v>
      </c>
      <c r="J103" s="2901">
        <f>1.2799/J101</f>
        <v>0.46541818181818184</v>
      </c>
      <c r="K103" s="2901">
        <f>1.2799/K101</f>
        <v>0.46541818181818184</v>
      </c>
      <c r="L103" s="2901">
        <f>1.2799/L101</f>
        <v>0.46541818181818184</v>
      </c>
      <c r="M103" s="2901">
        <f>1.2799/M101</f>
        <v>0.46541818181818184</v>
      </c>
      <c r="N103" s="2901">
        <f>1.2799/N101</f>
        <v>0.46541818181818184</v>
      </c>
    </row>
    <row r="104" spans="1:14">
      <c r="A104" s="3243"/>
      <c r="B104" s="2900">
        <v>3</v>
      </c>
      <c r="C104" s="2901">
        <f>1.1594/C101</f>
        <v>0.42159999999999997</v>
      </c>
      <c r="D104" s="2901">
        <f>1.1594/D101</f>
        <v>0.42159999999999997</v>
      </c>
      <c r="E104" s="2901">
        <f>1.0788/E101</f>
        <v>0.39229090909090908</v>
      </c>
      <c r="F104" s="2901">
        <f>1.0788/F101</f>
        <v>0.39229090909090908</v>
      </c>
      <c r="G104" s="2901">
        <f>1.0788/G101</f>
        <v>0.39229090909090908</v>
      </c>
      <c r="H104" s="2901">
        <f>1.0788/H101</f>
        <v>0.39229090909090908</v>
      </c>
      <c r="I104" s="2901">
        <f>1.0788/I101</f>
        <v>0.39229090909090908</v>
      </c>
      <c r="J104" s="2901">
        <f>1.0072/J101</f>
        <v>0.3662545454545455</v>
      </c>
      <c r="K104" s="2901">
        <f>1.0072/K101</f>
        <v>0.3662545454545455</v>
      </c>
      <c r="L104" s="2901">
        <f>1.0072/L101</f>
        <v>0.3662545454545455</v>
      </c>
      <c r="M104" s="2901">
        <f>1.0072/M101</f>
        <v>0.3662545454545455</v>
      </c>
      <c r="N104" s="2901">
        <f>1.0072/N101</f>
        <v>0.3662545454545455</v>
      </c>
    </row>
    <row r="105" spans="1:14">
      <c r="A105" s="3243"/>
      <c r="B105" s="2900">
        <v>4</v>
      </c>
      <c r="C105" s="2901">
        <f>0.9622/C101</f>
        <v>0.34989090909090909</v>
      </c>
      <c r="D105" s="2901">
        <f>0.9622/D101</f>
        <v>0.34989090909090909</v>
      </c>
      <c r="E105" s="2901">
        <f>0.8656/E101</f>
        <v>0.31476363636363636</v>
      </c>
      <c r="F105" s="2901">
        <f>0.8656/F101</f>
        <v>0.31476363636363636</v>
      </c>
      <c r="G105" s="2901">
        <f>0.8656/G101</f>
        <v>0.31476363636363636</v>
      </c>
      <c r="H105" s="2901">
        <f>0.8656/H101</f>
        <v>0.31476363636363636</v>
      </c>
      <c r="I105" s="2901">
        <f>0.8656/I101</f>
        <v>0.31476363636363636</v>
      </c>
      <c r="J105" s="2901">
        <f>0.7525/J101</f>
        <v>0.27363636363636362</v>
      </c>
      <c r="K105" s="2901">
        <f>0.7525/K101</f>
        <v>0.27363636363636362</v>
      </c>
      <c r="L105" s="2901">
        <f>0.7525/L101</f>
        <v>0.27363636363636362</v>
      </c>
      <c r="M105" s="2901">
        <f>0.7525/M101</f>
        <v>0.27363636363636362</v>
      </c>
      <c r="N105" s="2901">
        <f>0.7525/N101</f>
        <v>0.27363636363636362</v>
      </c>
    </row>
    <row r="106" spans="1:14">
      <c r="A106" s="3243"/>
      <c r="B106" s="2900">
        <v>5</v>
      </c>
      <c r="C106" s="2901">
        <f>0.8417/C101</f>
        <v>0.30607272727272727</v>
      </c>
      <c r="D106" s="2901">
        <f>0.8417/D101</f>
        <v>0.30607272727272727</v>
      </c>
      <c r="E106" s="2901">
        <f>0.7371/E101</f>
        <v>0.26803636363636363</v>
      </c>
      <c r="F106" s="2901">
        <f>0.7371/F101</f>
        <v>0.26803636363636363</v>
      </c>
      <c r="G106" s="2901">
        <f>0.7371/G101</f>
        <v>0.26803636363636363</v>
      </c>
      <c r="H106" s="2901">
        <f>0.7371/H101</f>
        <v>0.26803636363636363</v>
      </c>
      <c r="I106" s="2901">
        <f>0.7371/I101</f>
        <v>0.26803636363636363</v>
      </c>
      <c r="J106" s="2901">
        <f>0.5659/J101</f>
        <v>0.20578181818181818</v>
      </c>
      <c r="K106" s="2901">
        <f>0.5659/K101</f>
        <v>0.20578181818181818</v>
      </c>
      <c r="L106" s="2901">
        <f>0.5659/L101</f>
        <v>0.20578181818181818</v>
      </c>
      <c r="M106" s="2901">
        <f>0.5659/M101</f>
        <v>0.20578181818181818</v>
      </c>
      <c r="N106" s="2901">
        <f>0.5659/N101</f>
        <v>0.20578181818181818</v>
      </c>
    </row>
    <row r="107" spans="1:14">
      <c r="A107" s="3243"/>
      <c r="B107" s="2900">
        <v>6</v>
      </c>
      <c r="C107" s="2901">
        <f>0.7608/C101</f>
        <v>0.27665454545454549</v>
      </c>
      <c r="D107" s="2901">
        <f>0.7608/D101</f>
        <v>0.27665454545454549</v>
      </c>
      <c r="E107" s="2901">
        <f>0.6482/E101</f>
        <v>0.2357090909090909</v>
      </c>
      <c r="F107" s="2901">
        <f>0.6482/F101</f>
        <v>0.2357090909090909</v>
      </c>
      <c r="G107" s="2901">
        <f>0.6482/G101</f>
        <v>0.2357090909090909</v>
      </c>
      <c r="H107" s="2901">
        <f>0.6482/H101</f>
        <v>0.2357090909090909</v>
      </c>
      <c r="I107" s="2901">
        <f>0.6482/I101</f>
        <v>0.2357090909090909</v>
      </c>
      <c r="J107" s="2901">
        <f>0.4525/J101</f>
        <v>0.16454545454545455</v>
      </c>
      <c r="K107" s="2901">
        <f>0.4525/K101</f>
        <v>0.16454545454545455</v>
      </c>
      <c r="L107" s="2901">
        <f>0.4525/L101</f>
        <v>0.16454545454545455</v>
      </c>
      <c r="M107" s="2901">
        <f>0.4525/M101</f>
        <v>0.16454545454545455</v>
      </c>
      <c r="N107" s="2901">
        <f>0.4525/N101</f>
        <v>0.16454545454545455</v>
      </c>
    </row>
    <row r="108" spans="1:14">
      <c r="A108" s="3243"/>
      <c r="B108" s="3071"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4"/>
      <c r="B109" s="3072"/>
      <c r="C109" s="2903">
        <f>(-0.163*(C108^2)-0.59*C108+7617)*(10^(-4))/C101</f>
        <v>0.27698181818181822</v>
      </c>
      <c r="D109" s="2903">
        <f>(-0.163*(D108^2)-0.59*D108+7617)*(10^(-4))/D101</f>
        <v>0.27698181818181822</v>
      </c>
      <c r="E109" s="2903">
        <f>(-0.161*(E108^2)-7.509*E108+6533)*(10^(-4))/E101</f>
        <v>0.23756363636363637</v>
      </c>
      <c r="F109" s="2903">
        <f>(-0.161*(F108^2)-7.509*F108+6533)*(10^(-4))/F101</f>
        <v>0.23756363636363637</v>
      </c>
      <c r="G109" s="2903">
        <f>(-0.161*(G108^2)-7.509*G108+6533)*(10^(-4))/G101</f>
        <v>0.23756363636363637</v>
      </c>
      <c r="H109" s="2903">
        <f>(-0.161*(H108^2)-7.509*H108+6533)*(10^(-4))/H101</f>
        <v>0.23756363636363637</v>
      </c>
      <c r="I109" s="2903">
        <f>(-0.161*(I108^2)-7.509*I108+6533)*(10^(-4))/I101</f>
        <v>0.23756363636363637</v>
      </c>
      <c r="J109" s="2903">
        <f>(-0.214*(J108^2)-21.991*J108+4665)*(10^(-4))/J101</f>
        <v>0.16963636363636364</v>
      </c>
      <c r="K109" s="2903">
        <f>(-0.214*(K108^2)-21.991*K108+4665)*(10^(-4))/K101</f>
        <v>0.16963636363636364</v>
      </c>
      <c r="L109" s="2903">
        <f>(-0.214*(L108^2)-21.991*L108+4665)*(10^(-4))/L101</f>
        <v>0.16963636363636364</v>
      </c>
      <c r="M109" s="2903">
        <f>(-0.214*(M108^2)-21.991*M108+4665)*(10^(-4))/M101</f>
        <v>0.16963636363636364</v>
      </c>
      <c r="N109" s="2903">
        <f>(-0.214*(N108^2)-21.991*N108+4665)*(10^(-4))/N101</f>
        <v>0.16963636363636364</v>
      </c>
    </row>
    <row r="110" spans="1:14">
      <c r="A110" s="3240" t="s">
        <v>2981</v>
      </c>
      <c r="B110" s="3240"/>
      <c r="C110" s="3240"/>
      <c r="D110" s="3240"/>
      <c r="E110" s="3240"/>
      <c r="F110" s="3240"/>
      <c r="G110" s="3240"/>
      <c r="H110" s="3240"/>
      <c r="I110" s="3240"/>
      <c r="J110" s="3240"/>
      <c r="K110" s="2906"/>
      <c r="L110" s="2906"/>
      <c r="M110" s="2906"/>
      <c r="N110" s="2906"/>
    </row>
    <row r="112" spans="1:14" ht="13.5" thickBot="1"/>
    <row r="113" spans="1:13" ht="25.5" thickBot="1">
      <c r="A113" s="903" t="s">
        <v>2982</v>
      </c>
      <c r="B113" s="1290">
        <f>G3</f>
        <v>2.75</v>
      </c>
      <c r="C113" s="904" t="s">
        <v>2983</v>
      </c>
      <c r="D113" s="905">
        <f>SUMPRODUCT((A115:A118=F113)*(B114:M114=H113)*B115:M118)</f>
        <v>0</v>
      </c>
      <c r="E113" s="2729" t="s">
        <v>2813</v>
      </c>
      <c r="F113" s="2908">
        <f>E2</f>
        <v>0</v>
      </c>
      <c r="G113" s="2729" t="s">
        <v>2814</v>
      </c>
      <c r="H113" s="2908">
        <f>G2</f>
        <v>0</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2878</v>
      </c>
      <c r="B115" s="910">
        <f>ROUND(0.9335-0.0094*B113,4)</f>
        <v>0.90769999999999995</v>
      </c>
      <c r="C115" s="910">
        <f>B115</f>
        <v>0.90769999999999995</v>
      </c>
      <c r="D115" s="910">
        <f>ROUND(0.8331-0.0109*B113,4)</f>
        <v>0.80310000000000004</v>
      </c>
      <c r="E115" s="910">
        <f>D115</f>
        <v>0.80310000000000004</v>
      </c>
      <c r="F115" s="910">
        <f>E115</f>
        <v>0.80310000000000004</v>
      </c>
      <c r="G115" s="910">
        <f>F115</f>
        <v>0.80310000000000004</v>
      </c>
      <c r="H115" s="910">
        <f>G115</f>
        <v>0.80310000000000004</v>
      </c>
      <c r="I115" s="910">
        <f>ROUND(0.689-0.0155*B113,4)</f>
        <v>0.64639999999999997</v>
      </c>
      <c r="J115" s="910">
        <f t="shared" ref="J115:M118" si="33">I115</f>
        <v>0.64639999999999997</v>
      </c>
      <c r="K115" s="910">
        <f t="shared" si="33"/>
        <v>0.64639999999999997</v>
      </c>
      <c r="L115" s="910">
        <f t="shared" si="33"/>
        <v>0.64639999999999997</v>
      </c>
      <c r="M115" s="911">
        <f t="shared" si="33"/>
        <v>0.64639999999999997</v>
      </c>
    </row>
    <row r="116" spans="1:13">
      <c r="A116" s="909" t="s">
        <v>2879</v>
      </c>
      <c r="B116" s="910">
        <f>ROUND(0.949-0.012*B113,4)</f>
        <v>0.91600000000000004</v>
      </c>
      <c r="C116" s="910">
        <f>B116</f>
        <v>0.91600000000000004</v>
      </c>
      <c r="D116" s="910">
        <f>ROUND(0.8567-0.013*B113,4)</f>
        <v>0.82099999999999995</v>
      </c>
      <c r="E116" s="910">
        <f t="shared" ref="E116:H117" si="34">D116</f>
        <v>0.82099999999999995</v>
      </c>
      <c r="F116" s="910">
        <f t="shared" si="34"/>
        <v>0.82099999999999995</v>
      </c>
      <c r="G116" s="910">
        <f t="shared" si="34"/>
        <v>0.82099999999999995</v>
      </c>
      <c r="H116" s="910">
        <f t="shared" si="34"/>
        <v>0.82099999999999995</v>
      </c>
      <c r="I116" s="910">
        <f>ROUND(0.7694-0.014*B113,4)</f>
        <v>0.73089999999999999</v>
      </c>
      <c r="J116" s="910">
        <f t="shared" si="33"/>
        <v>0.73089999999999999</v>
      </c>
      <c r="K116" s="910">
        <f t="shared" si="33"/>
        <v>0.73089999999999999</v>
      </c>
      <c r="L116" s="910">
        <f t="shared" si="33"/>
        <v>0.73089999999999999</v>
      </c>
      <c r="M116" s="911">
        <f t="shared" si="33"/>
        <v>0.73089999999999999</v>
      </c>
    </row>
    <row r="117" spans="1:13">
      <c r="A117" s="909" t="s">
        <v>2880</v>
      </c>
      <c r="B117" s="910">
        <f>ROUND(0.8808-0.006*B113,4)</f>
        <v>0.86429999999999996</v>
      </c>
      <c r="C117" s="910">
        <f>B117</f>
        <v>0.86429999999999996</v>
      </c>
      <c r="D117" s="910">
        <f>ROUND(0.8748-0.008*B113,4)</f>
        <v>0.8528</v>
      </c>
      <c r="E117" s="910">
        <f t="shared" si="34"/>
        <v>0.8528</v>
      </c>
      <c r="F117" s="910">
        <f t="shared" si="34"/>
        <v>0.8528</v>
      </c>
      <c r="G117" s="910">
        <f t="shared" si="34"/>
        <v>0.8528</v>
      </c>
      <c r="H117" s="910">
        <f t="shared" si="34"/>
        <v>0.8528</v>
      </c>
      <c r="I117" s="910">
        <f>ROUND(0.7412-0.0095*B113,4)</f>
        <v>0.71509999999999996</v>
      </c>
      <c r="J117" s="910">
        <f t="shared" si="33"/>
        <v>0.71509999999999996</v>
      </c>
      <c r="K117" s="910">
        <f t="shared" si="33"/>
        <v>0.71509999999999996</v>
      </c>
      <c r="L117" s="910">
        <f t="shared" si="33"/>
        <v>0.71509999999999996</v>
      </c>
      <c r="M117" s="911">
        <f t="shared" si="33"/>
        <v>0.71509999999999996</v>
      </c>
    </row>
    <row r="118" spans="1:13" ht="13.5" thickBot="1">
      <c r="A118" s="714" t="s">
        <v>2881</v>
      </c>
      <c r="B118" s="912">
        <f>ROUND(0.7275-0.01*B113,4)</f>
        <v>0.7</v>
      </c>
      <c r="C118" s="912">
        <f>B118</f>
        <v>0.7</v>
      </c>
      <c r="D118" s="912">
        <f>ROUND(0.7043-0.012*B113,4)</f>
        <v>0.67130000000000001</v>
      </c>
      <c r="E118" s="912">
        <f>D118</f>
        <v>0.67130000000000001</v>
      </c>
      <c r="F118" s="912">
        <f>E118</f>
        <v>0.67130000000000001</v>
      </c>
      <c r="G118" s="912">
        <f>ROUND(0.6299-0.0122*B113,4)</f>
        <v>0.59640000000000004</v>
      </c>
      <c r="H118" s="912">
        <f>G118</f>
        <v>0.59640000000000004</v>
      </c>
      <c r="I118" s="912">
        <f>ROUND(0.5667-0.0136*B113,4)</f>
        <v>0.52929999999999999</v>
      </c>
      <c r="J118" s="912">
        <f t="shared" si="33"/>
        <v>0.52929999999999999</v>
      </c>
      <c r="K118" s="912">
        <f t="shared" si="33"/>
        <v>0.52929999999999999</v>
      </c>
      <c r="L118" s="912">
        <f t="shared" si="33"/>
        <v>0.52929999999999999</v>
      </c>
      <c r="M118" s="913">
        <f t="shared" si="33"/>
        <v>0.52929999999999999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3004</v>
      </c>
    </row>
    <row r="2" spans="1:5" ht="15.75">
      <c r="A2" s="2915" t="s">
        <v>2996</v>
      </c>
      <c r="B2" s="2916" t="e">
        <f ca="1">SUMIF(B6:B13,"&lt;&gt;#ref!",B6:B13)</f>
        <v>#DIV/0!</v>
      </c>
      <c r="C2" s="2915" t="s">
        <v>2997</v>
      </c>
      <c r="D2" s="2915" t="s">
        <v>2998</v>
      </c>
      <c r="E2" s="2916">
        <f ca="1">SUMIF(E6:E13,"&lt;&gt;#ref!",E6:E13)</f>
        <v>0</v>
      </c>
    </row>
    <row r="3" spans="1:5" ht="15.75">
      <c r="A3" s="2915" t="s">
        <v>2999</v>
      </c>
      <c r="B3" s="2916" t="e">
        <f ca="1">ROUND(B2*10000/E2,0)</f>
        <v>#DIV/0!</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t="e">
        <f ca="1">SUMIF(INDIRECT("'"&amp;A6&amp;"'"&amp;"!A:A"),"总价",INDIRECT("'"&amp;A6&amp;"'"&amp;"!B:B"))</f>
        <v>#DIV/0!</v>
      </c>
      <c r="C6" s="2915" t="s">
        <v>2997</v>
      </c>
      <c r="D6" s="2917"/>
      <c r="E6" s="2580">
        <f ca="1">SUMIF(INDIRECT("'"&amp;A6&amp;"'"&amp;"!C:C"),"建筑面积",INDIRECT("'"&amp;A6&amp;"'"&amp;"!D:D"))</f>
        <v>0</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59" t="s">
        <v>1147</v>
      </c>
      <c r="H1" s="3259"/>
      <c r="I1" s="3259"/>
      <c r="J1" s="3259"/>
      <c r="K1" s="3259"/>
      <c r="L1" s="3259"/>
      <c r="N1" s="3259" t="s">
        <v>1148</v>
      </c>
      <c r="O1" s="3259"/>
      <c r="P1" s="3259"/>
      <c r="Q1" s="3259"/>
      <c r="R1" s="1449"/>
      <c r="S1" s="3259" t="s">
        <v>1149</v>
      </c>
      <c r="T1" s="3259"/>
      <c r="U1" s="3259"/>
      <c r="V1" s="3259"/>
      <c r="X1" s="3258" t="s">
        <v>1150</v>
      </c>
      <c r="Y1" s="3259"/>
      <c r="Z1" s="3259"/>
      <c r="AA1" s="3259"/>
      <c r="AB1" s="3259"/>
      <c r="AD1" s="3258" t="s">
        <v>1151</v>
      </c>
      <c r="AE1" s="3259"/>
      <c r="AF1" s="3259"/>
      <c r="AG1" s="3259"/>
      <c r="AH1" s="32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2019</v>
      </c>
      <c r="H5" s="1732">
        <v>1</v>
      </c>
      <c r="I5" s="2927">
        <v>0</v>
      </c>
      <c r="J5" s="2927">
        <v>0</v>
      </c>
      <c r="K5" s="2927">
        <v>0</v>
      </c>
      <c r="L5" s="2927">
        <v>0</v>
      </c>
      <c r="N5" s="1470">
        <f>I5/100</f>
        <v>0</v>
      </c>
      <c r="O5" s="1470">
        <f t="shared" ref="O5" si="7">J5/100</f>
        <v>0</v>
      </c>
      <c r="P5" s="1470">
        <f t="shared" ref="P5" si="8">K5/100</f>
        <v>0</v>
      </c>
      <c r="Q5" s="1470">
        <f t="shared" ref="Q5" si="9">L5/100</f>
        <v>0</v>
      </c>
      <c r="R5" s="1734"/>
      <c r="S5" s="1735"/>
      <c r="T5" s="1734"/>
      <c r="U5" s="1734"/>
      <c r="V5" s="1734"/>
      <c r="W5" s="2930" t="s">
        <v>3040</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61">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3035</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70" t="s">
        <v>3007</v>
      </c>
      <c r="D1" s="3271"/>
      <c r="E1" s="3271"/>
      <c r="F1" s="3271"/>
      <c r="G1" s="3271"/>
      <c r="H1" s="3271"/>
      <c r="I1" s="3271"/>
      <c r="J1" s="3271"/>
      <c r="K1" s="3271"/>
      <c r="L1" s="3271"/>
      <c r="M1" s="3271"/>
      <c r="N1" s="3271"/>
      <c r="O1" s="3271"/>
      <c r="P1" s="3271"/>
      <c r="Q1" s="3271"/>
      <c r="R1" s="3271"/>
      <c r="S1" s="327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5"/>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2" t="s">
        <v>33</v>
      </c>
      <c r="D22" s="3053"/>
      <c r="E22" s="3053"/>
      <c r="F22" s="3053"/>
      <c r="G22" s="3053"/>
      <c r="H22" s="3053"/>
      <c r="I22" s="3053"/>
      <c r="J22" s="3053"/>
      <c r="K22" s="3053"/>
      <c r="L22" s="3053"/>
      <c r="M22" s="3053"/>
      <c r="N22" s="3053"/>
      <c r="O22" s="3053"/>
      <c r="P22" s="3053"/>
      <c r="Q22" s="326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3"/>
      <c r="B4" s="2955" t="s">
        <v>1626</v>
      </c>
      <c r="C4" s="2955"/>
      <c r="D4" s="2955"/>
      <c r="E4" s="1963"/>
    </row>
    <row r="5" spans="1:5" ht="16.5" thickTop="1">
      <c r="A5" s="1961"/>
      <c r="B5" s="2953" t="s">
        <v>1618</v>
      </c>
      <c r="C5" s="1964" t="s">
        <v>1619</v>
      </c>
      <c r="D5" s="1043">
        <f ca="1">结果表!H101</f>
        <v>23136</v>
      </c>
      <c r="E5" s="1961"/>
    </row>
    <row r="6" spans="1:5" ht="15.75">
      <c r="A6" s="1961"/>
      <c r="B6" s="2953"/>
      <c r="C6" s="1964" t="s">
        <v>1620</v>
      </c>
      <c r="D6" s="1043" t="str">
        <f ca="1">NUMBERSTRING(INT(D5*10000),2)&amp;"元整"</f>
        <v>贰亿叁仟壹佰叁拾陆万元整</v>
      </c>
      <c r="E6" s="1961"/>
    </row>
    <row r="7" spans="1:5" ht="15.75">
      <c r="A7" s="1961"/>
      <c r="B7" s="2958"/>
      <c r="C7" s="1965" t="s">
        <v>1621</v>
      </c>
      <c r="D7" s="1044">
        <f ca="1">结果表!H102</f>
        <v>3677</v>
      </c>
      <c r="E7" s="1961"/>
    </row>
    <row r="8" spans="1:5" ht="15.75">
      <c r="A8" s="1961"/>
      <c r="B8" s="2959" t="str">
        <f>结果表!E103</f>
        <v>2.估价师知悉的法定优先受偿款</v>
      </c>
      <c r="C8" s="1966" t="s">
        <v>1622</v>
      </c>
      <c r="D8" s="1044">
        <f>结果表!H103</f>
        <v>0</v>
      </c>
      <c r="E8" s="1961"/>
    </row>
    <row r="9" spans="1:5" ht="15.75">
      <c r="A9" s="1961"/>
      <c r="B9" s="2961"/>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2" t="str">
        <f>结果表!E107</f>
        <v>3.房地产抵押价值</v>
      </c>
      <c r="C13" s="1969" t="s">
        <v>1619</v>
      </c>
      <c r="D13" s="1046">
        <f ca="1">结果表!H107</f>
        <v>23136</v>
      </c>
      <c r="E13" s="1961"/>
    </row>
    <row r="14" spans="1:5" ht="15.75">
      <c r="A14" s="1961"/>
      <c r="B14" s="2953"/>
      <c r="C14" s="1964" t="s">
        <v>1620</v>
      </c>
      <c r="D14" s="1043" t="str">
        <f ca="1">NUMBERSTRING(INT(D13*10000),2)&amp;"元整"</f>
        <v>贰亿叁仟壹佰叁拾陆万元整</v>
      </c>
      <c r="E14" s="1961"/>
    </row>
    <row r="15" spans="1:5" ht="15">
      <c r="A15" s="1961"/>
      <c r="B15" s="2958"/>
      <c r="C15" s="1965" t="s">
        <v>1630</v>
      </c>
      <c r="D15" s="1055">
        <f ca="1">结果表!H108</f>
        <v>3677</v>
      </c>
      <c r="E15" s="1961"/>
    </row>
    <row r="16" spans="1:5" ht="15">
      <c r="A16" s="1961"/>
      <c r="B16" s="2959" t="str">
        <f>结果表!E109</f>
        <v>——</v>
      </c>
      <c r="C16" s="1969" t="s">
        <v>1631</v>
      </c>
      <c r="D16" s="1970" t="str">
        <f>结果表!H109</f>
        <v>——</v>
      </c>
      <c r="E16" s="1961"/>
    </row>
    <row r="17" spans="1:5" ht="15.75">
      <c r="A17" s="1961"/>
      <c r="B17" s="2960"/>
      <c r="C17" s="1964" t="s">
        <v>1632</v>
      </c>
      <c r="D17" s="1043" t="e">
        <f>NUMBERSTRING(INT(D16*10000),2)&amp;"元整"</f>
        <v>#VALUE!</v>
      </c>
      <c r="E17" s="1961"/>
    </row>
    <row r="18" spans="1:5" ht="15">
      <c r="A18" s="1961"/>
      <c r="B18" s="2961"/>
      <c r="C18" s="1965" t="s">
        <v>1621</v>
      </c>
      <c r="D18" s="1055" t="str">
        <f>结果表!H110</f>
        <v>——</v>
      </c>
      <c r="E18" s="1961"/>
    </row>
    <row r="19" spans="1:5" ht="15.75">
      <c r="A19" s="1961"/>
      <c r="B19" s="2952" t="str">
        <f>结果表!E111</f>
        <v>——</v>
      </c>
      <c r="C19" s="1969" t="s">
        <v>1619</v>
      </c>
      <c r="D19" s="1044" t="str">
        <f>结果表!H111</f>
        <v>——</v>
      </c>
      <c r="E19" s="1961"/>
    </row>
    <row r="20" spans="1:5" ht="15.75">
      <c r="A20" s="1961"/>
      <c r="B20" s="2953"/>
      <c r="C20" s="1964" t="s">
        <v>1632</v>
      </c>
      <c r="D20" s="1043" t="e">
        <f>NUMBERSTRING(INT(D19*10000),2)&amp;"元整"</f>
        <v>#VALUE!</v>
      </c>
      <c r="E20" s="1961"/>
    </row>
    <row r="21" spans="1:5" ht="15.75" thickBot="1">
      <c r="A21" s="1961"/>
      <c r="B21" s="2954"/>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48237</v>
      </c>
      <c r="C2" s="2" t="s">
        <v>133</v>
      </c>
      <c r="D2" s="243"/>
      <c r="E2" s="243"/>
      <c r="F2" s="243"/>
      <c r="G2" s="243"/>
    </row>
    <row r="3" spans="1:7" s="244" customFormat="1" ht="18" customHeight="1" thickBot="1">
      <c r="A3" s="247" t="s">
        <v>85</v>
      </c>
      <c r="B3" s="248">
        <f ca="1">ROUND(B2*10000/'数据-汇总表'!E3,0)</f>
        <v>7667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100</v>
      </c>
      <c r="F9" s="265"/>
      <c r="G9" s="270"/>
    </row>
    <row r="10" spans="1:7" s="258" customFormat="1" ht="13.5" customHeight="1">
      <c r="A10" s="953" t="s">
        <v>801</v>
      </c>
      <c r="B10" s="268" t="s">
        <v>94</v>
      </c>
      <c r="C10" s="269">
        <f>ROUND(D10*E10/10000,0)</f>
        <v>629</v>
      </c>
      <c r="D10" s="1035">
        <f>'数据-汇总表'!E6</f>
        <v>62915.380000000005</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1132</v>
      </c>
      <c r="D19" s="1039">
        <f>'数据-汇总表'!E3</f>
        <v>62915.380000000005</v>
      </c>
      <c r="E19" s="255">
        <f>'数据-取费表'!B31</f>
        <v>180</v>
      </c>
      <c r="F19" s="275"/>
      <c r="G19" s="1" t="s">
        <v>1071</v>
      </c>
    </row>
    <row r="20" spans="1:7" s="258" customFormat="1" ht="13.5" customHeight="1">
      <c r="A20" s="951" t="s">
        <v>1054</v>
      </c>
      <c r="B20" s="254" t="s">
        <v>104</v>
      </c>
      <c r="C20" s="276">
        <f>ROUND((C5+C19)*F20,0)</f>
        <v>435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1914</v>
      </c>
      <c r="D22" s="279">
        <f ca="1">C26</f>
        <v>8.9999999999999998E-4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1796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99</v>
      </c>
      <c r="D24" s="282"/>
      <c r="E24" s="282"/>
      <c r="F24" s="283"/>
      <c r="G24" s="284" t="s">
        <v>109</v>
      </c>
    </row>
    <row r="25" spans="1:7" s="258" customFormat="1" ht="24">
      <c r="A25" s="954" t="s">
        <v>793</v>
      </c>
      <c r="B25" s="259" t="s">
        <v>1055</v>
      </c>
      <c r="C25" s="1358">
        <f ca="1">ROUND(IF('数据-取费表'!B22&lt;=1,C20*F22*'数据-取费表'!B23/2,C20*(POWER((1+F22),'数据-取费表'!B23/2)-1)),0)</f>
        <v>19</v>
      </c>
      <c r="D25" s="282"/>
      <c r="E25" s="285"/>
      <c r="F25" s="283"/>
      <c r="G25" s="286" t="s">
        <v>110</v>
      </c>
    </row>
    <row r="26" spans="1:7" s="258" customFormat="1">
      <c r="A26" s="954" t="s">
        <v>795</v>
      </c>
      <c r="B26" s="259" t="s">
        <v>1057</v>
      </c>
      <c r="C26" s="282">
        <f ca="1">ROUND(IF('数据-取费表'!B22&lt;=1,F21*F22*'数据-取费表'!B23/2,F21*(POWER((1+F22),'数据-取费表'!B23/2)-1)),4)</f>
        <v>8.9999999999999998E-4</v>
      </c>
      <c r="D26" s="282"/>
      <c r="E26" s="285"/>
      <c r="F26" s="283"/>
      <c r="G26" s="287"/>
    </row>
    <row r="27" spans="1:7" s="258" customFormat="1" ht="24.75">
      <c r="A27" s="951" t="s">
        <v>787</v>
      </c>
      <c r="B27" s="288" t="s">
        <v>112</v>
      </c>
      <c r="C27" s="289">
        <f>C28</f>
        <v>1796</v>
      </c>
      <c r="D27" s="279">
        <f>C29</f>
        <v>1.6000000000000001E-3</v>
      </c>
      <c r="E27" s="280" t="s">
        <v>126</v>
      </c>
      <c r="F27" s="290">
        <f>'数据-取费表'!Q16</f>
        <v>0.09</v>
      </c>
      <c r="G27" s="291" t="s">
        <v>1066</v>
      </c>
    </row>
    <row r="28" spans="1:7" s="258" customFormat="1" ht="13.5" customHeight="1">
      <c r="A28" s="954" t="s">
        <v>794</v>
      </c>
      <c r="B28" s="292" t="s">
        <v>1059</v>
      </c>
      <c r="C28" s="293">
        <f>ROUND((C5+C19+C20)*F27*'数据-取费表'!B21/'数据-取费表'!B20,0)</f>
        <v>1796</v>
      </c>
      <c r="D28" s="279"/>
      <c r="E28" s="280"/>
      <c r="F28" s="290"/>
      <c r="G28" s="291"/>
    </row>
    <row r="29" spans="1:7" s="258" customFormat="1" ht="13.5" customHeight="1">
      <c r="A29" s="954" t="s">
        <v>792</v>
      </c>
      <c r="B29" s="292" t="s">
        <v>1060</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16175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14377</v>
      </c>
      <c r="D34" s="261"/>
      <c r="E34" s="264"/>
      <c r="F34" s="301">
        <f>IF('数据-取费表'!B24=0,1,'数据-取费表'!N16)</f>
        <v>0.8</v>
      </c>
      <c r="G34" s="263" t="s">
        <v>116</v>
      </c>
    </row>
    <row r="35" spans="1:7" ht="13.5" customHeight="1">
      <c r="A35" s="954" t="s">
        <v>796</v>
      </c>
      <c r="B35" s="259" t="s">
        <v>60</v>
      </c>
      <c r="C35" s="264">
        <f>ROUND(C34*F35,0)</f>
        <v>575</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1007</v>
      </c>
      <c r="D37" s="261">
        <f>'数据-汇总表'!E3</f>
        <v>62915.380000000005</v>
      </c>
      <c r="E37" s="293">
        <f>'数据-取费表'!B35</f>
        <v>200</v>
      </c>
      <c r="F37" s="303"/>
      <c r="G37" s="305" t="s">
        <v>119</v>
      </c>
    </row>
    <row r="38" spans="1:7" ht="13.5" customHeight="1">
      <c r="A38" s="954" t="s">
        <v>799</v>
      </c>
      <c r="B38" s="259" t="s">
        <v>63</v>
      </c>
      <c r="C38" s="264">
        <f>ROUND(C34*F38,0)</f>
        <v>216</v>
      </c>
      <c r="D38" s="264"/>
      <c r="E38" s="264"/>
      <c r="F38" s="303">
        <f>'数据-取费表'!B36</f>
        <v>1.4999999999999999E-2</v>
      </c>
      <c r="G38" s="263" t="s">
        <v>117</v>
      </c>
    </row>
    <row r="39" spans="1:7" s="258" customFormat="1" ht="13.5" customHeight="1">
      <c r="A39" s="951" t="s">
        <v>783</v>
      </c>
      <c r="B39" s="254" t="s">
        <v>104</v>
      </c>
      <c r="C39" s="276">
        <f>ROUND(C33*F20,0)</f>
        <v>324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704</v>
      </c>
      <c r="D41" s="279">
        <f ca="1">C44</f>
        <v>8.9999999999999998E-4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690</v>
      </c>
      <c r="D42" s="282"/>
      <c r="E42" s="282"/>
      <c r="F42" s="283"/>
      <c r="G42" s="3137" t="s">
        <v>121</v>
      </c>
    </row>
    <row r="43" spans="1:7" ht="13.5" customHeight="1">
      <c r="A43" s="954" t="s">
        <v>792</v>
      </c>
      <c r="B43" s="259" t="s">
        <v>1061</v>
      </c>
      <c r="C43" s="282">
        <f ca="1">ROUND(IF('数据-取费表'!B22&lt;=1,C39*F22*'数据-取费表'!B21/2,C39*(POWER((1+F22),'数据-取费表'!B21/2)-1)),0)</f>
        <v>14</v>
      </c>
      <c r="D43" s="282"/>
      <c r="E43" s="282"/>
      <c r="F43" s="283"/>
      <c r="G43" s="3138"/>
    </row>
    <row r="44" spans="1:7" ht="13.5" customHeight="1">
      <c r="A44" s="954" t="s">
        <v>793</v>
      </c>
      <c r="B44" s="259" t="s">
        <v>1063</v>
      </c>
      <c r="C44" s="282">
        <f ca="1">ROUND(IF('数据-取费表'!B22&lt;=1,C40*F22*'数据-取费表'!B21/2,C40*(POWER((1+F22),'数据-取费表'!B21/2)-1)),4)</f>
        <v>8.9999999999999998E-4</v>
      </c>
      <c r="D44" s="282"/>
      <c r="E44" s="282"/>
      <c r="F44" s="283"/>
      <c r="G44" s="3139"/>
    </row>
    <row r="45" spans="1:7" s="258" customFormat="1" ht="13.5" customHeight="1">
      <c r="A45" s="951" t="s">
        <v>786</v>
      </c>
      <c r="B45" s="288" t="s">
        <v>112</v>
      </c>
      <c r="C45" s="289">
        <f>C46</f>
        <v>1485</v>
      </c>
      <c r="D45" s="279">
        <f>C47</f>
        <v>1.8E-3</v>
      </c>
      <c r="E45" s="280" t="s">
        <v>129</v>
      </c>
      <c r="F45" s="290"/>
      <c r="G45" s="291" t="s">
        <v>1069</v>
      </c>
    </row>
    <row r="46" spans="1:7" s="258" customFormat="1" ht="13.5" customHeight="1">
      <c r="A46" s="954" t="s">
        <v>794</v>
      </c>
      <c r="B46" s="292" t="s">
        <v>1062</v>
      </c>
      <c r="C46" s="293">
        <f>ROUND((C33+C39)*F27,0)</f>
        <v>1485</v>
      </c>
      <c r="D46" s="307"/>
      <c r="E46" s="280"/>
      <c r="F46" s="290"/>
      <c r="G46" s="291"/>
    </row>
    <row r="47" spans="1:7" s="258" customFormat="1" ht="13.5" customHeight="1">
      <c r="A47" s="954" t="s">
        <v>792</v>
      </c>
      <c r="B47" s="292" t="s">
        <v>1064</v>
      </c>
      <c r="C47" s="282">
        <f>ROUND(C40*F27,4)</f>
        <v>1.8E-3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20226</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20226</v>
      </c>
      <c r="D51" s="276"/>
      <c r="E51" s="276"/>
      <c r="F51" s="308"/>
      <c r="G51" s="278" t="s">
        <v>64</v>
      </c>
    </row>
    <row r="52" spans="1:7" s="252" customFormat="1" ht="16.5" thickBot="1">
      <c r="A52" s="309" t="s">
        <v>65</v>
      </c>
      <c r="B52" s="310"/>
      <c r="C52" s="311">
        <f ca="1">C31+C51</f>
        <v>48237</v>
      </c>
      <c r="D52" s="310"/>
      <c r="E52" s="310"/>
      <c r="F52" s="310"/>
      <c r="G52" s="312"/>
    </row>
    <row r="55" spans="1:7" ht="15">
      <c r="B55" s="314" t="s">
        <v>66</v>
      </c>
      <c r="C55" s="315"/>
    </row>
    <row r="56" spans="1:7">
      <c r="B56" s="317" t="s">
        <v>67</v>
      </c>
      <c r="C56" s="318">
        <f ca="1">ROUND(C51/C52,3)</f>
        <v>0.41899999999999998</v>
      </c>
    </row>
    <row r="57" spans="1:7">
      <c r="B57" s="317" t="s">
        <v>68</v>
      </c>
      <c r="C57" s="319">
        <f ca="1">1-C56</f>
        <v>0.58099999999999996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43487</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G17" sqref="G17"/>
    </sheetView>
  </sheetViews>
  <sheetFormatPr defaultRowHeight="13.5"/>
  <cols>
    <col min="1" max="1" width="24.5" customWidth="1"/>
    <col min="6" max="6" width="17.5" customWidth="1"/>
    <col min="13" max="13" width="24.75" customWidth="1"/>
  </cols>
  <sheetData>
    <row r="1" spans="1:14">
      <c r="A1" s="1637" t="s">
        <v>3064</v>
      </c>
      <c r="B1" s="1637" t="s">
        <v>3065</v>
      </c>
      <c r="C1" s="1637" t="s">
        <v>3066</v>
      </c>
      <c r="D1" s="1637" t="s">
        <v>3067</v>
      </c>
      <c r="E1" s="1637" t="s">
        <v>3068</v>
      </c>
      <c r="F1" s="1637" t="s">
        <v>3069</v>
      </c>
      <c r="G1" s="1637" t="s">
        <v>3070</v>
      </c>
      <c r="H1" s="1637" t="s">
        <v>3071</v>
      </c>
      <c r="I1" s="1637" t="s">
        <v>3072</v>
      </c>
      <c r="J1" s="1637" t="s">
        <v>3073</v>
      </c>
      <c r="K1" s="1637" t="s">
        <v>3074</v>
      </c>
      <c r="L1" s="1637" t="s">
        <v>3075</v>
      </c>
      <c r="M1" s="1637" t="s">
        <v>3076</v>
      </c>
      <c r="N1" s="1637" t="s">
        <v>3077</v>
      </c>
    </row>
    <row r="2" spans="1:14" s="2948" customFormat="1">
      <c r="A2" s="2947" t="s">
        <v>3078</v>
      </c>
      <c r="B2" s="2947" t="s">
        <v>3079</v>
      </c>
      <c r="C2" s="2947" t="s">
        <v>3080</v>
      </c>
      <c r="D2" s="2947">
        <v>28577.39</v>
      </c>
      <c r="E2" s="2947">
        <v>51439.3</v>
      </c>
      <c r="F2" s="2947" t="s">
        <v>3081</v>
      </c>
      <c r="G2" s="2947" t="s">
        <v>3082</v>
      </c>
      <c r="H2" s="2947" t="s">
        <v>3083</v>
      </c>
      <c r="I2" s="2947">
        <v>1500</v>
      </c>
      <c r="J2" s="2947">
        <v>3390</v>
      </c>
      <c r="K2" s="2947">
        <v>659.02</v>
      </c>
      <c r="L2" s="2947">
        <v>126</v>
      </c>
      <c r="M2" s="2947" t="s">
        <v>3084</v>
      </c>
      <c r="N2" s="2947" t="s">
        <v>3085</v>
      </c>
    </row>
    <row r="3" spans="1:14">
      <c r="A3" s="1637" t="s">
        <v>3086</v>
      </c>
      <c r="B3" s="1637" t="s">
        <v>3079</v>
      </c>
      <c r="C3" s="1637" t="s">
        <v>3080</v>
      </c>
      <c r="D3" s="1637">
        <v>33443.64</v>
      </c>
      <c r="E3" s="1637">
        <v>66887.28</v>
      </c>
      <c r="F3" s="1637" t="s">
        <v>3087</v>
      </c>
      <c r="G3" s="1637" t="s">
        <v>3082</v>
      </c>
      <c r="H3" s="1637" t="s">
        <v>3088</v>
      </c>
      <c r="I3" s="1637" t="s">
        <v>1327</v>
      </c>
      <c r="J3" s="1637">
        <v>3210</v>
      </c>
      <c r="K3" s="1637">
        <v>479.91</v>
      </c>
      <c r="L3" s="1637" t="s">
        <v>1327</v>
      </c>
      <c r="M3" s="1637" t="s">
        <v>3089</v>
      </c>
      <c r="N3" s="1637" t="s">
        <v>3085</v>
      </c>
    </row>
    <row r="4" spans="1:14" s="2948" customFormat="1">
      <c r="A4" s="2947" t="s">
        <v>3086</v>
      </c>
      <c r="B4" s="2947" t="s">
        <v>3079</v>
      </c>
      <c r="C4" s="2947" t="s">
        <v>3080</v>
      </c>
      <c r="D4" s="2947">
        <v>34606.21</v>
      </c>
      <c r="E4" s="2947">
        <v>69212.42</v>
      </c>
      <c r="F4" s="2947" t="s">
        <v>3087</v>
      </c>
      <c r="G4" s="2947" t="s">
        <v>3082</v>
      </c>
      <c r="H4" s="2947" t="s">
        <v>3088</v>
      </c>
      <c r="I4" s="2947" t="s">
        <v>1327</v>
      </c>
      <c r="J4" s="2947">
        <v>3310</v>
      </c>
      <c r="K4" s="2947">
        <v>478.24</v>
      </c>
      <c r="L4" s="2947" t="s">
        <v>1327</v>
      </c>
      <c r="M4" s="2947" t="s">
        <v>3089</v>
      </c>
      <c r="N4" s="2947" t="s">
        <v>3085</v>
      </c>
    </row>
    <row r="5" spans="1:14">
      <c r="A5" s="1637" t="s">
        <v>3090</v>
      </c>
      <c r="B5" s="1637" t="s">
        <v>3079</v>
      </c>
      <c r="C5" s="1637" t="s">
        <v>3080</v>
      </c>
      <c r="D5" s="1637">
        <v>7855.92</v>
      </c>
      <c r="E5" s="1637">
        <v>35351.64</v>
      </c>
      <c r="F5" s="1637" t="s">
        <v>3091</v>
      </c>
      <c r="G5" s="1637" t="s">
        <v>3082</v>
      </c>
      <c r="H5" s="1637" t="s">
        <v>3092</v>
      </c>
      <c r="I5" s="1637">
        <v>500</v>
      </c>
      <c r="J5" s="1637">
        <v>985</v>
      </c>
      <c r="K5" s="1637">
        <v>278.62</v>
      </c>
      <c r="L5" s="1637">
        <v>97</v>
      </c>
      <c r="M5" s="1637" t="s">
        <v>3093</v>
      </c>
      <c r="N5" s="1637" t="s">
        <v>3085</v>
      </c>
    </row>
    <row r="6" spans="1:14">
      <c r="A6" s="1637" t="s">
        <v>3094</v>
      </c>
      <c r="B6" s="1637" t="s">
        <v>3079</v>
      </c>
      <c r="C6" s="1637" t="s">
        <v>3080</v>
      </c>
      <c r="D6" s="1637">
        <v>3214.01</v>
      </c>
      <c r="E6" s="1637">
        <v>16070.05</v>
      </c>
      <c r="F6" s="1637" t="s">
        <v>3095</v>
      </c>
      <c r="G6" s="1637" t="s">
        <v>3082</v>
      </c>
      <c r="H6" s="1637" t="s">
        <v>3092</v>
      </c>
      <c r="I6" s="1637">
        <v>200</v>
      </c>
      <c r="J6" s="1637">
        <v>405</v>
      </c>
      <c r="K6" s="1637">
        <v>252.02</v>
      </c>
      <c r="L6" s="1637">
        <v>102.5</v>
      </c>
      <c r="M6" s="1637" t="s">
        <v>3093</v>
      </c>
      <c r="N6" s="1637" t="s">
        <v>3085</v>
      </c>
    </row>
    <row r="7" spans="1:14" s="2950" customFormat="1">
      <c r="A7" s="2949" t="s">
        <v>3096</v>
      </c>
      <c r="B7" s="2949" t="s">
        <v>3079</v>
      </c>
      <c r="C7" s="2949" t="s">
        <v>3080</v>
      </c>
      <c r="D7" s="2949">
        <v>4453.4799999999996</v>
      </c>
      <c r="E7" s="2949">
        <v>8906.9599999999991</v>
      </c>
      <c r="F7" s="2949" t="s">
        <v>3087</v>
      </c>
      <c r="G7" s="2949" t="s">
        <v>3082</v>
      </c>
      <c r="H7" s="2949" t="s">
        <v>3097</v>
      </c>
      <c r="I7" s="2949">
        <v>100</v>
      </c>
      <c r="J7" s="2949">
        <v>270</v>
      </c>
      <c r="K7" s="2949">
        <v>303.12</v>
      </c>
      <c r="L7" s="2949">
        <v>170</v>
      </c>
      <c r="M7" s="2949" t="s">
        <v>3098</v>
      </c>
      <c r="N7" s="2949" t="s">
        <v>3085</v>
      </c>
    </row>
    <row r="8" spans="1:14" s="2948" customFormat="1">
      <c r="A8" s="2947" t="s">
        <v>3099</v>
      </c>
      <c r="B8" s="2947" t="s">
        <v>3079</v>
      </c>
      <c r="C8" s="2947" t="s">
        <v>3080</v>
      </c>
      <c r="D8" s="2947">
        <v>34642.5</v>
      </c>
      <c r="E8" s="2947">
        <v>69285</v>
      </c>
      <c r="F8" s="2947" t="s">
        <v>3087</v>
      </c>
      <c r="G8" s="2947" t="s">
        <v>3082</v>
      </c>
      <c r="H8" s="2947" t="s">
        <v>3097</v>
      </c>
      <c r="I8" s="2947">
        <v>1500</v>
      </c>
      <c r="J8" s="2947">
        <v>3310</v>
      </c>
      <c r="K8" s="2947">
        <v>477.74</v>
      </c>
      <c r="L8" s="2947">
        <v>120.67</v>
      </c>
      <c r="M8" s="2947" t="s">
        <v>3100</v>
      </c>
      <c r="N8" s="2947" t="s">
        <v>3085</v>
      </c>
    </row>
    <row r="9" spans="1:14">
      <c r="A9" s="1637" t="s">
        <v>3101</v>
      </c>
      <c r="B9" s="1637" t="s">
        <v>3079</v>
      </c>
      <c r="C9" s="1637" t="s">
        <v>3080</v>
      </c>
      <c r="D9" s="1637">
        <v>191423.94</v>
      </c>
      <c r="E9" s="1637">
        <v>191423.94</v>
      </c>
      <c r="F9" s="1637" t="s">
        <v>3102</v>
      </c>
      <c r="G9" s="1637" t="s">
        <v>3082</v>
      </c>
      <c r="H9" s="1637" t="s">
        <v>3103</v>
      </c>
      <c r="I9" s="1637">
        <v>3500</v>
      </c>
      <c r="J9" s="1637">
        <v>5740</v>
      </c>
      <c r="K9" s="1637">
        <v>299.86</v>
      </c>
      <c r="L9" s="1637">
        <v>64</v>
      </c>
      <c r="M9" s="1637" t="s">
        <v>3104</v>
      </c>
      <c r="N9" s="1637" t="s">
        <v>3085</v>
      </c>
    </row>
    <row r="10" spans="1:14">
      <c r="A10" s="1637" t="s">
        <v>3105</v>
      </c>
      <c r="B10" s="1637" t="s">
        <v>3079</v>
      </c>
      <c r="C10" s="1637" t="s">
        <v>3080</v>
      </c>
      <c r="D10" s="1637">
        <v>69262.490000000005</v>
      </c>
      <c r="E10" s="1637">
        <v>69262.490000000005</v>
      </c>
      <c r="F10" s="1637" t="s">
        <v>3102</v>
      </c>
      <c r="G10" s="1637" t="s">
        <v>3082</v>
      </c>
      <c r="H10" s="1637" t="s">
        <v>3103</v>
      </c>
      <c r="I10" s="1637">
        <v>1000</v>
      </c>
      <c r="J10" s="1637">
        <v>2070</v>
      </c>
      <c r="K10" s="1637">
        <v>298.86</v>
      </c>
      <c r="L10" s="1637">
        <v>107</v>
      </c>
      <c r="M10" s="1637" t="s">
        <v>3104</v>
      </c>
      <c r="N10" s="1637" t="s">
        <v>3085</v>
      </c>
    </row>
    <row r="11" spans="1:14">
      <c r="A11" s="1637" t="s">
        <v>3101</v>
      </c>
      <c r="B11" s="1637" t="s">
        <v>3079</v>
      </c>
      <c r="C11" s="1637" t="s">
        <v>3080</v>
      </c>
      <c r="D11" s="1637">
        <v>122050.09</v>
      </c>
      <c r="E11" s="1637">
        <v>122050.09</v>
      </c>
      <c r="F11" s="1637" t="s">
        <v>3102</v>
      </c>
      <c r="G11" s="1637" t="s">
        <v>3082</v>
      </c>
      <c r="H11" s="1637" t="s">
        <v>3103</v>
      </c>
      <c r="I11" s="1637">
        <v>2000</v>
      </c>
      <c r="J11" s="1637">
        <v>3660</v>
      </c>
      <c r="K11" s="1637">
        <v>299.87</v>
      </c>
      <c r="L11" s="1637">
        <v>83</v>
      </c>
      <c r="M11" s="1637" t="s">
        <v>3104</v>
      </c>
      <c r="N11" s="1637" t="s">
        <v>3085</v>
      </c>
    </row>
    <row r="12" spans="1:14">
      <c r="A12" s="1637" t="s">
        <v>3106</v>
      </c>
      <c r="B12" s="1637" t="s">
        <v>3079</v>
      </c>
      <c r="C12" s="1637" t="s">
        <v>3080</v>
      </c>
      <c r="D12" s="1637">
        <v>53306.94</v>
      </c>
      <c r="E12" s="1637">
        <v>53306.94</v>
      </c>
      <c r="F12" s="1637" t="s">
        <v>3102</v>
      </c>
      <c r="G12" s="1637" t="s">
        <v>3082</v>
      </c>
      <c r="H12" s="1637" t="s">
        <v>3103</v>
      </c>
      <c r="I12" s="1637">
        <v>1000</v>
      </c>
      <c r="J12" s="1637">
        <v>1600</v>
      </c>
      <c r="K12" s="1637">
        <v>300.14</v>
      </c>
      <c r="L12" s="1637">
        <v>60</v>
      </c>
      <c r="M12" s="1637" t="s">
        <v>3104</v>
      </c>
      <c r="N12" s="1637" t="s">
        <v>3085</v>
      </c>
    </row>
    <row r="13" spans="1:14">
      <c r="A13" s="1637" t="s">
        <v>3107</v>
      </c>
      <c r="B13" s="1637" t="s">
        <v>3079</v>
      </c>
      <c r="C13" s="1637" t="s">
        <v>3080</v>
      </c>
      <c r="D13" s="1637">
        <v>59861.599999999999</v>
      </c>
      <c r="E13" s="1637">
        <v>59861.599999999999</v>
      </c>
      <c r="F13" s="1637" t="s">
        <v>3102</v>
      </c>
      <c r="G13" s="1637" t="s">
        <v>3082</v>
      </c>
      <c r="H13" s="1637" t="s">
        <v>3103</v>
      </c>
      <c r="I13" s="1637">
        <v>1000</v>
      </c>
      <c r="J13" s="1637">
        <v>1800</v>
      </c>
      <c r="K13" s="1637">
        <v>300.68</v>
      </c>
      <c r="L13" s="1637">
        <v>80</v>
      </c>
      <c r="M13" s="1637" t="s">
        <v>3104</v>
      </c>
      <c r="N13" s="1637" t="s">
        <v>3085</v>
      </c>
    </row>
    <row r="14" spans="1:14">
      <c r="A14" s="1637" t="s">
        <v>3108</v>
      </c>
      <c r="B14" s="1637" t="s">
        <v>3079</v>
      </c>
      <c r="C14" s="1637" t="s">
        <v>3080</v>
      </c>
      <c r="D14" s="1637">
        <v>15381.2</v>
      </c>
      <c r="E14" s="1637">
        <v>53834.2</v>
      </c>
      <c r="F14" s="1637" t="s">
        <v>3109</v>
      </c>
      <c r="G14" s="1637" t="s">
        <v>3082</v>
      </c>
      <c r="H14" s="1637" t="s">
        <v>3110</v>
      </c>
      <c r="I14" s="1637">
        <v>400</v>
      </c>
      <c r="J14" s="1637">
        <v>1025</v>
      </c>
      <c r="K14" s="1637">
        <v>190.4</v>
      </c>
      <c r="L14" s="1637">
        <v>156.25</v>
      </c>
      <c r="M14" s="1637" t="s">
        <v>3111</v>
      </c>
      <c r="N14" s="1637" t="s">
        <v>3085</v>
      </c>
    </row>
    <row r="15" spans="1:14">
      <c r="A15" s="1637" t="s">
        <v>3112</v>
      </c>
      <c r="B15" s="1637" t="s">
        <v>3079</v>
      </c>
      <c r="C15" s="1637" t="s">
        <v>3080</v>
      </c>
      <c r="D15" s="1637">
        <v>6438.41</v>
      </c>
      <c r="E15" s="1637">
        <v>3863.05</v>
      </c>
      <c r="F15" s="1637" t="s">
        <v>3113</v>
      </c>
      <c r="G15" s="1637" t="s">
        <v>3082</v>
      </c>
      <c r="H15" s="1637" t="s">
        <v>3114</v>
      </c>
      <c r="I15" s="1637" t="s">
        <v>1327</v>
      </c>
      <c r="J15" s="1637">
        <v>3210</v>
      </c>
      <c r="K15" s="1637">
        <v>8309.5</v>
      </c>
      <c r="L15" s="1637" t="s">
        <v>1327</v>
      </c>
      <c r="M15" s="1637" t="s">
        <v>3115</v>
      </c>
      <c r="N15" s="1637" t="s">
        <v>3085</v>
      </c>
    </row>
    <row r="16" spans="1:14">
      <c r="A16" s="1637" t="s">
        <v>3116</v>
      </c>
      <c r="B16" s="1637" t="s">
        <v>3079</v>
      </c>
      <c r="C16" s="1637" t="s">
        <v>3080</v>
      </c>
      <c r="D16" s="1637">
        <v>16907.95</v>
      </c>
      <c r="E16" s="1637">
        <v>59177.83</v>
      </c>
      <c r="F16" s="1637" t="s">
        <v>3109</v>
      </c>
      <c r="G16" s="1637" t="s">
        <v>3082</v>
      </c>
      <c r="H16" s="1637" t="s">
        <v>3114</v>
      </c>
      <c r="I16" s="1637">
        <v>400</v>
      </c>
      <c r="J16" s="1637">
        <v>1125</v>
      </c>
      <c r="K16" s="1637">
        <v>190.09</v>
      </c>
      <c r="L16" s="1637">
        <v>181.25</v>
      </c>
      <c r="M16" s="1637" t="s">
        <v>3117</v>
      </c>
      <c r="N16" s="1637" t="s">
        <v>3085</v>
      </c>
    </row>
    <row r="17" spans="1:14">
      <c r="A17" s="1637" t="s">
        <v>3118</v>
      </c>
      <c r="B17" s="1637" t="s">
        <v>3079</v>
      </c>
      <c r="C17" s="1637" t="s">
        <v>3080</v>
      </c>
      <c r="D17" s="1637">
        <v>23481.02</v>
      </c>
      <c r="E17" s="1637">
        <v>46962.04</v>
      </c>
      <c r="F17" s="1637" t="s">
        <v>3087</v>
      </c>
      <c r="G17" s="1637" t="s">
        <v>3082</v>
      </c>
      <c r="H17" s="1637" t="s">
        <v>3114</v>
      </c>
      <c r="I17" s="1637">
        <v>600</v>
      </c>
      <c r="J17" s="1637">
        <v>1565</v>
      </c>
      <c r="K17" s="1637">
        <v>333.25</v>
      </c>
      <c r="L17" s="1637">
        <v>160.83000000000001</v>
      </c>
      <c r="M17" s="1637" t="s">
        <v>3119</v>
      </c>
      <c r="N17" s="1637" t="s">
        <v>3085</v>
      </c>
    </row>
    <row r="18" spans="1:14">
      <c r="A18" s="1637" t="s">
        <v>3118</v>
      </c>
      <c r="B18" s="1637" t="s">
        <v>3079</v>
      </c>
      <c r="C18" s="1637" t="s">
        <v>3080</v>
      </c>
      <c r="D18" s="1637">
        <v>43010.04</v>
      </c>
      <c r="E18" s="1637">
        <v>86020.08</v>
      </c>
      <c r="F18" s="1637" t="s">
        <v>3087</v>
      </c>
      <c r="G18" s="1637" t="s">
        <v>3082</v>
      </c>
      <c r="H18" s="1637" t="s">
        <v>3114</v>
      </c>
      <c r="I18" s="1637">
        <v>1100</v>
      </c>
      <c r="J18" s="1637">
        <v>2860</v>
      </c>
      <c r="K18" s="1637">
        <v>332.48</v>
      </c>
      <c r="L18" s="1637">
        <v>160</v>
      </c>
      <c r="M18" s="1637" t="s">
        <v>3119</v>
      </c>
      <c r="N18" s="1637" t="s">
        <v>3085</v>
      </c>
    </row>
    <row r="19" spans="1:14">
      <c r="A19" s="1637" t="s">
        <v>3120</v>
      </c>
      <c r="B19" s="1637" t="s">
        <v>3079</v>
      </c>
      <c r="C19" s="1637" t="s">
        <v>3080</v>
      </c>
      <c r="D19" s="1637">
        <v>27538.37</v>
      </c>
      <c r="E19" s="1637">
        <v>137691.85</v>
      </c>
      <c r="F19" s="1637" t="s">
        <v>3121</v>
      </c>
      <c r="G19" s="1637" t="s">
        <v>3082</v>
      </c>
      <c r="H19" s="1637" t="s">
        <v>3122</v>
      </c>
      <c r="I19" s="1637">
        <v>800</v>
      </c>
      <c r="J19" s="1637">
        <v>1840</v>
      </c>
      <c r="K19" s="1637">
        <v>133.62</v>
      </c>
      <c r="L19" s="1637">
        <v>130</v>
      </c>
      <c r="M19" s="1637" t="s">
        <v>3123</v>
      </c>
      <c r="N19" s="1637" t="s">
        <v>3085</v>
      </c>
    </row>
    <row r="20" spans="1:14">
      <c r="A20" s="1637" t="s">
        <v>3120</v>
      </c>
      <c r="B20" s="1637" t="s">
        <v>3079</v>
      </c>
      <c r="C20" s="1637" t="s">
        <v>3080</v>
      </c>
      <c r="D20" s="1637">
        <v>8884.9500000000007</v>
      </c>
      <c r="E20" s="1637">
        <v>10661.94</v>
      </c>
      <c r="F20" s="1637" t="s">
        <v>3124</v>
      </c>
      <c r="G20" s="1637" t="s">
        <v>3082</v>
      </c>
      <c r="H20" s="1637" t="s">
        <v>3122</v>
      </c>
      <c r="I20" s="1637">
        <v>200</v>
      </c>
      <c r="J20" s="1637">
        <v>595</v>
      </c>
      <c r="K20" s="1637">
        <v>558.04999999999995</v>
      </c>
      <c r="L20" s="1637">
        <v>197.5</v>
      </c>
      <c r="M20" s="1637" t="s">
        <v>3123</v>
      </c>
      <c r="N20" s="1637" t="s">
        <v>3085</v>
      </c>
    </row>
    <row r="21" spans="1:14">
      <c r="A21" s="1637" t="s">
        <v>3120</v>
      </c>
      <c r="B21" s="1637" t="s">
        <v>3079</v>
      </c>
      <c r="C21" s="1637" t="s">
        <v>3080</v>
      </c>
      <c r="D21" s="1637">
        <v>70970.64</v>
      </c>
      <c r="E21" s="1637">
        <v>248397.24</v>
      </c>
      <c r="F21" s="1637" t="s">
        <v>3109</v>
      </c>
      <c r="G21" s="1637" t="s">
        <v>3082</v>
      </c>
      <c r="H21" s="1637" t="s">
        <v>3122</v>
      </c>
      <c r="I21" s="1637">
        <v>2000</v>
      </c>
      <c r="J21" s="1637">
        <v>4710</v>
      </c>
      <c r="K21" s="1637">
        <v>189.62</v>
      </c>
      <c r="L21" s="1637">
        <v>135.5</v>
      </c>
      <c r="M21" s="1637" t="s">
        <v>3123</v>
      </c>
      <c r="N21" s="1637" t="s">
        <v>3085</v>
      </c>
    </row>
    <row r="22" spans="1:14">
      <c r="A22" s="1637" t="s">
        <v>3120</v>
      </c>
      <c r="B22" s="1637" t="s">
        <v>3079</v>
      </c>
      <c r="C22" s="1637" t="s">
        <v>3080</v>
      </c>
      <c r="D22" s="1637">
        <v>13198.11</v>
      </c>
      <c r="E22" s="1637">
        <v>15837.73</v>
      </c>
      <c r="F22" s="1637" t="s">
        <v>3124</v>
      </c>
      <c r="G22" s="1637" t="s">
        <v>3082</v>
      </c>
      <c r="H22" s="1637" t="s">
        <v>3122</v>
      </c>
      <c r="I22" s="1637">
        <v>400</v>
      </c>
      <c r="J22" s="1637">
        <v>885</v>
      </c>
      <c r="K22" s="1637">
        <v>558.78</v>
      </c>
      <c r="L22" s="1637">
        <v>121.25</v>
      </c>
      <c r="M22" s="1637" t="s">
        <v>3123</v>
      </c>
      <c r="N22" s="1637" t="s">
        <v>3085</v>
      </c>
    </row>
    <row r="23" spans="1:14">
      <c r="A23" s="1637" t="s">
        <v>3120</v>
      </c>
      <c r="B23" s="1637" t="s">
        <v>3079</v>
      </c>
      <c r="C23" s="1637" t="s">
        <v>3080</v>
      </c>
      <c r="D23" s="1637">
        <v>9030.73</v>
      </c>
      <c r="E23" s="1637">
        <v>10836.88</v>
      </c>
      <c r="F23" s="1637" t="s">
        <v>3124</v>
      </c>
      <c r="G23" s="1637" t="s">
        <v>3082</v>
      </c>
      <c r="H23" s="1637" t="s">
        <v>3122</v>
      </c>
      <c r="I23" s="1637">
        <v>200</v>
      </c>
      <c r="J23" s="1637">
        <v>605</v>
      </c>
      <c r="K23" s="1637">
        <v>558.27</v>
      </c>
      <c r="L23" s="1637">
        <v>202.5</v>
      </c>
      <c r="M23" s="1637" t="s">
        <v>3123</v>
      </c>
      <c r="N23" s="1637" t="s">
        <v>3085</v>
      </c>
    </row>
    <row r="24" spans="1:14">
      <c r="A24" s="1637" t="s">
        <v>3120</v>
      </c>
      <c r="B24" s="1637" t="s">
        <v>3079</v>
      </c>
      <c r="C24" s="1637" t="s">
        <v>3080</v>
      </c>
      <c r="D24" s="1637">
        <v>8133.23</v>
      </c>
      <c r="E24" s="1637">
        <v>9759.8799999999992</v>
      </c>
      <c r="F24" s="1637" t="s">
        <v>3124</v>
      </c>
      <c r="G24" s="1637" t="s">
        <v>3082</v>
      </c>
      <c r="H24" s="1637" t="s">
        <v>3122</v>
      </c>
      <c r="I24" s="1637">
        <v>200</v>
      </c>
      <c r="J24" s="1637">
        <v>545</v>
      </c>
      <c r="K24" s="1637">
        <v>558.4</v>
      </c>
      <c r="L24" s="1637">
        <v>172.5</v>
      </c>
      <c r="M24" s="1637" t="s">
        <v>3123</v>
      </c>
      <c r="N24" s="1637" t="s">
        <v>3085</v>
      </c>
    </row>
    <row r="25" spans="1:14">
      <c r="A25" s="1637" t="s">
        <v>3120</v>
      </c>
      <c r="B25" s="1637" t="s">
        <v>3079</v>
      </c>
      <c r="C25" s="1637" t="s">
        <v>3080</v>
      </c>
      <c r="D25" s="1637">
        <v>9443.99</v>
      </c>
      <c r="E25" s="1637">
        <v>11332.79</v>
      </c>
      <c r="F25" s="1637" t="s">
        <v>3124</v>
      </c>
      <c r="G25" s="1637" t="s">
        <v>3082</v>
      </c>
      <c r="H25" s="1637" t="s">
        <v>3122</v>
      </c>
      <c r="I25" s="1637">
        <v>300</v>
      </c>
      <c r="J25" s="1637">
        <v>635</v>
      </c>
      <c r="K25" s="1637">
        <v>560.32000000000005</v>
      </c>
      <c r="L25" s="1637">
        <v>111.67</v>
      </c>
      <c r="M25" s="1637" t="s">
        <v>3123</v>
      </c>
      <c r="N25" s="1637" t="s">
        <v>3085</v>
      </c>
    </row>
    <row r="26" spans="1:14">
      <c r="A26" s="1637" t="s">
        <v>3120</v>
      </c>
      <c r="B26" s="1637" t="s">
        <v>3079</v>
      </c>
      <c r="C26" s="1637" t="s">
        <v>3080</v>
      </c>
      <c r="D26" s="1637">
        <v>5847.02</v>
      </c>
      <c r="E26" s="1637">
        <v>7016.42</v>
      </c>
      <c r="F26" s="1637" t="s">
        <v>3124</v>
      </c>
      <c r="G26" s="1637" t="s">
        <v>3082</v>
      </c>
      <c r="H26" s="1637" t="s">
        <v>3122</v>
      </c>
      <c r="I26" s="1637">
        <v>150</v>
      </c>
      <c r="J26" s="1637">
        <v>395</v>
      </c>
      <c r="K26" s="1637">
        <v>562.97</v>
      </c>
      <c r="L26" s="1637">
        <v>163.33000000000001</v>
      </c>
      <c r="M26" s="1637" t="s">
        <v>3123</v>
      </c>
      <c r="N26" s="1637" t="s">
        <v>3085</v>
      </c>
    </row>
    <row r="27" spans="1:14">
      <c r="A27" s="1637" t="s">
        <v>3125</v>
      </c>
      <c r="B27" s="1637" t="s">
        <v>3079</v>
      </c>
      <c r="C27" s="1637" t="s">
        <v>3080</v>
      </c>
      <c r="D27" s="1637">
        <v>29430.67</v>
      </c>
      <c r="E27" s="1637">
        <v>73576.679999999993</v>
      </c>
      <c r="F27" s="1637" t="s">
        <v>3126</v>
      </c>
      <c r="G27" s="1637" t="s">
        <v>3082</v>
      </c>
      <c r="H27" s="1637" t="s">
        <v>3127</v>
      </c>
      <c r="I27" s="1637">
        <v>900</v>
      </c>
      <c r="J27" s="1637">
        <v>2790</v>
      </c>
      <c r="K27" s="1637">
        <v>379.19</v>
      </c>
      <c r="L27" s="1637">
        <v>210</v>
      </c>
      <c r="M27" s="1637" t="s">
        <v>3128</v>
      </c>
      <c r="N27" s="1637" t="s">
        <v>3085</v>
      </c>
    </row>
    <row r="28" spans="1:14">
      <c r="A28" s="1637" t="s">
        <v>3129</v>
      </c>
      <c r="B28" s="1637" t="s">
        <v>3079</v>
      </c>
      <c r="C28" s="1637" t="s">
        <v>3080</v>
      </c>
      <c r="D28" s="1637">
        <v>43971.57</v>
      </c>
      <c r="E28" s="1637">
        <v>87943.14</v>
      </c>
      <c r="F28" s="1637" t="s">
        <v>3130</v>
      </c>
      <c r="G28" s="1637" t="s">
        <v>3082</v>
      </c>
      <c r="H28" s="1637" t="s">
        <v>3131</v>
      </c>
      <c r="I28" s="1637">
        <v>700</v>
      </c>
      <c r="J28" s="1637">
        <v>2595</v>
      </c>
      <c r="K28" s="1637">
        <v>295.07</v>
      </c>
      <c r="L28" s="1637">
        <v>270.70999999999998</v>
      </c>
      <c r="M28" s="1637" t="s">
        <v>3098</v>
      </c>
      <c r="N28" s="1637" t="s">
        <v>3085</v>
      </c>
    </row>
    <row r="29" spans="1:14">
      <c r="A29" s="1637" t="s">
        <v>3132</v>
      </c>
      <c r="B29" s="1637" t="s">
        <v>3079</v>
      </c>
      <c r="C29" s="1637" t="s">
        <v>3080</v>
      </c>
      <c r="D29" s="1637">
        <v>11552.61</v>
      </c>
      <c r="E29" s="1637">
        <v>40434.14</v>
      </c>
      <c r="F29" s="1637" t="s">
        <v>3109</v>
      </c>
      <c r="G29" s="1637" t="s">
        <v>3082</v>
      </c>
      <c r="H29" s="1637" t="s">
        <v>3133</v>
      </c>
      <c r="I29" s="1637">
        <v>300</v>
      </c>
      <c r="J29" s="1637">
        <v>1015</v>
      </c>
      <c r="K29" s="1637">
        <v>251.03</v>
      </c>
      <c r="L29" s="1637">
        <v>238.33</v>
      </c>
      <c r="M29" s="1637" t="s">
        <v>3134</v>
      </c>
      <c r="N29" s="1637" t="s">
        <v>3085</v>
      </c>
    </row>
    <row r="30" spans="1:14">
      <c r="A30" s="1637" t="s">
        <v>3135</v>
      </c>
      <c r="B30" s="1637" t="s">
        <v>3079</v>
      </c>
      <c r="C30" s="1637" t="s">
        <v>3080</v>
      </c>
      <c r="D30" s="1637">
        <v>25735.33</v>
      </c>
      <c r="E30" s="1637">
        <v>64338.33</v>
      </c>
      <c r="F30" s="1637" t="s">
        <v>3126</v>
      </c>
      <c r="G30" s="1637" t="s">
        <v>3082</v>
      </c>
      <c r="H30" s="1637" t="s">
        <v>3136</v>
      </c>
      <c r="I30" s="1637">
        <v>500</v>
      </c>
      <c r="J30" s="1637">
        <v>1710</v>
      </c>
      <c r="K30" s="1637">
        <v>265.77</v>
      </c>
      <c r="L30" s="1637">
        <v>242</v>
      </c>
      <c r="M30" s="1637" t="s">
        <v>3137</v>
      </c>
      <c r="N30" s="1637" t="s">
        <v>3085</v>
      </c>
    </row>
    <row r="31" spans="1:14">
      <c r="A31" s="1637" t="s">
        <v>3138</v>
      </c>
      <c r="B31" s="1637" t="s">
        <v>3079</v>
      </c>
      <c r="C31" s="1637" t="s">
        <v>3080</v>
      </c>
      <c r="D31" s="1637">
        <v>10112.77</v>
      </c>
      <c r="E31" s="1637">
        <v>20225.54</v>
      </c>
      <c r="F31" s="1637" t="s">
        <v>3087</v>
      </c>
      <c r="G31" s="1637" t="s">
        <v>3082</v>
      </c>
      <c r="H31" s="1637" t="s">
        <v>3136</v>
      </c>
      <c r="I31" s="1637">
        <v>200</v>
      </c>
      <c r="J31" s="1637">
        <v>670</v>
      </c>
      <c r="K31" s="1637">
        <v>331.25</v>
      </c>
      <c r="L31" s="1637">
        <v>235</v>
      </c>
      <c r="M31" s="1637" t="s">
        <v>3139</v>
      </c>
      <c r="N31" s="1637" t="s">
        <v>3085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1637</v>
      </c>
      <c r="B2" s="2963" t="s">
        <v>1638</v>
      </c>
      <c r="C2" s="2963" t="s">
        <v>1639</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1634</v>
      </c>
      <c r="E3" s="1047" t="s">
        <v>1640</v>
      </c>
      <c r="F3" s="1047" t="s">
        <v>1634</v>
      </c>
      <c r="G3" s="1047" t="s">
        <v>1635</v>
      </c>
      <c r="H3" s="1047" t="s">
        <v>1634</v>
      </c>
      <c r="I3" s="1047" t="s">
        <v>1635</v>
      </c>
    </row>
    <row r="4" spans="1:9" ht="30">
      <c r="A4" s="1975" t="str">
        <f>项目基本情况!S2</f>
        <v>出让国有建设用地使用权及在建建筑物房地产</v>
      </c>
      <c r="B4" s="1047">
        <f>项目基本情况!C17</f>
        <v>62915.380000000005</v>
      </c>
      <c r="C4" s="1047">
        <f>项目基本情况!C18</f>
        <v>16031.32</v>
      </c>
      <c r="D4" s="1047" t="e">
        <f ca="1">结果表!D118</f>
        <v>#REF!</v>
      </c>
      <c r="E4" s="1047" t="e">
        <f ca="1">结果表!E118</f>
        <v>#REF!</v>
      </c>
      <c r="F4" s="1047" t="e">
        <f ca="1">结果表!F118</f>
        <v>#REF!</v>
      </c>
      <c r="G4" s="1047" t="e">
        <f ca="1">结果表!G118</f>
        <v>#REF!</v>
      </c>
      <c r="H4" s="1047">
        <f ca="1">结果表!H118</f>
        <v>23136</v>
      </c>
      <c r="I4" s="1047">
        <f ca="1">结果表!I118</f>
        <v>3677</v>
      </c>
    </row>
    <row r="5" spans="1:9" ht="30" customHeight="1">
      <c r="A5" s="2964" t="s">
        <v>1636</v>
      </c>
      <c r="B5" s="2964"/>
      <c r="C5" s="2964"/>
      <c r="D5" s="2965" t="e">
        <f ca="1">结果表!D119</f>
        <v>#REF!</v>
      </c>
      <c r="E5" s="2965"/>
      <c r="F5" s="2965" t="e">
        <f ca="1">结果表!F119</f>
        <v>#REF!</v>
      </c>
      <c r="G5" s="2965"/>
      <c r="H5" s="2965" t="str">
        <f ca="1">结果表!H119</f>
        <v>贰亿叁仟壹佰叁拾陆万元整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1636</v>
      </c>
      <c r="B7" s="2964"/>
      <c r="C7" s="2964"/>
      <c r="D7" s="2967" t="str">
        <f>结果表!D121</f>
        <v>零元整</v>
      </c>
      <c r="E7" s="2968"/>
      <c r="F7" s="2968"/>
      <c r="G7" s="2968"/>
      <c r="H7" s="2968"/>
      <c r="I7" s="2969"/>
    </row>
    <row r="8" spans="1:9" ht="15.75">
      <c r="A8" s="2966" t="str">
        <f>结果表!A122</f>
        <v>房地产抵押价值</v>
      </c>
      <c r="B8" s="2966"/>
      <c r="C8" s="2966"/>
      <c r="D8" s="2966">
        <f ca="1">结果表!D122</f>
        <v>23136</v>
      </c>
      <c r="E8" s="2966"/>
      <c r="F8" s="2966"/>
      <c r="G8" s="2966"/>
      <c r="H8" s="2966"/>
      <c r="I8" s="2966"/>
    </row>
    <row r="9" spans="1:9" ht="15">
      <c r="A9" s="2964" t="s">
        <v>1636</v>
      </c>
      <c r="B9" s="2964"/>
      <c r="C9" s="2964"/>
      <c r="D9" s="2965" t="str">
        <f ca="1">结果表!D123</f>
        <v>贰亿叁仟壹佰叁拾陆万元整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1636</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73" t="s">
        <v>1658</v>
      </c>
      <c r="B1" s="2973"/>
      <c r="C1" s="2973"/>
      <c r="D1" s="2973"/>
    </row>
    <row r="2" spans="1:4" ht="18">
      <c r="A2" s="2974" t="s">
        <v>1642</v>
      </c>
      <c r="B2" s="2974"/>
      <c r="C2" s="2974"/>
      <c r="D2" s="2974"/>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74" t="s">
        <v>1648</v>
      </c>
      <c r="B6" s="2974"/>
      <c r="C6" s="2974"/>
      <c r="D6" s="2974"/>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75"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6" t="str">
        <f>IF(项目基本情况!B8="抵押","3.抵押双方在办理抵押登记手续时，应使用本公司出具的正式《房地产评估报告》，特提醒报告使用者注意。","——")</f>
        <v>——</v>
      </c>
      <c r="B13" s="2977"/>
      <c r="C13" s="2977"/>
      <c r="D13" s="2977"/>
    </row>
    <row r="14" spans="1:4" ht="15.75" customHeight="1">
      <c r="A14" s="2976" t="str">
        <f>IF(项目基本情况!B8="抵押","4.本次评估估价师所知悉的法定优先受偿款情况说明如下：","——")</f>
        <v>——</v>
      </c>
      <c r="B14" s="2977"/>
      <c r="C14" s="2977"/>
      <c r="D14" s="2977"/>
    </row>
    <row r="15" spans="1:4" ht="42" customHeight="1">
      <c r="A15" s="2976" t="str">
        <f>IF(项目基本情况!B8="抵押","（1）"&amp;CONCATENATE(项目基本情况!L20,项目基本情况!L21,项目基本情况!L22),"——")</f>
        <v>——</v>
      </c>
      <c r="B15" s="2976"/>
      <c r="C15" s="2976"/>
      <c r="D15" s="2976"/>
    </row>
    <row r="16" spans="1:4" ht="30" customHeight="1">
      <c r="A16" s="2979" t="s">
        <v>1652</v>
      </c>
      <c r="B16" s="2979"/>
      <c r="C16" s="2979"/>
      <c r="D16" s="2979"/>
    </row>
    <row r="17" spans="1:4" ht="144" customHeight="1">
      <c r="A17" s="2979" t="s">
        <v>1653</v>
      </c>
      <c r="B17" s="2979"/>
      <c r="C17" s="2979"/>
      <c r="D17" s="2979"/>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1654</v>
      </c>
      <c r="B22" s="2981"/>
      <c r="C22" s="2981"/>
      <c r="D22" s="2981"/>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87" t="s">
        <v>1665</v>
      </c>
      <c r="B15" s="2982" t="s">
        <v>136</v>
      </c>
      <c r="C15" s="2983"/>
    </row>
    <row r="16" spans="1:7" ht="13.5">
      <c r="A16" s="2988"/>
      <c r="B16" s="2982" t="s">
        <v>69</v>
      </c>
      <c r="C16" s="2983"/>
    </row>
    <row r="17" spans="1:3" ht="13.5">
      <c r="A17" s="2988"/>
      <c r="B17" s="2985" t="s">
        <v>1666</v>
      </c>
      <c r="C17" s="2002" t="s">
        <v>1665</v>
      </c>
    </row>
    <row r="18" spans="1:3" ht="13.5">
      <c r="A18" s="2988"/>
      <c r="B18" s="2985"/>
      <c r="C18" s="2002" t="s">
        <v>1667</v>
      </c>
    </row>
    <row r="19" spans="1:3" ht="13.5">
      <c r="A19" s="2988"/>
      <c r="B19" s="2985"/>
      <c r="C19" s="2002" t="s">
        <v>1668</v>
      </c>
    </row>
    <row r="20" spans="1:3" ht="13.5">
      <c r="A20" s="2989"/>
      <c r="B20" s="2984" t="s">
        <v>1669</v>
      </c>
      <c r="C20" s="2983"/>
    </row>
    <row r="21" spans="1:3" ht="13.5">
      <c r="A21" s="2003" t="s">
        <v>1670</v>
      </c>
      <c r="B21" s="2004"/>
      <c r="C21" s="2005"/>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2" t="s">
        <v>1676</v>
      </c>
    </row>
    <row r="26" spans="1:3" ht="13.5">
      <c r="A26" s="2986"/>
      <c r="B26" s="2985"/>
      <c r="C26" s="2002" t="s">
        <v>1677</v>
      </c>
    </row>
    <row r="27" spans="1:3" ht="13.5">
      <c r="A27" s="2986"/>
      <c r="B27" s="2985"/>
      <c r="C27" s="2002" t="s">
        <v>1678</v>
      </c>
    </row>
    <row r="28" spans="1:3" ht="13.5">
      <c r="A28" s="2986"/>
      <c r="B28" s="2985"/>
      <c r="C28" s="2002" t="s">
        <v>1679</v>
      </c>
    </row>
    <row r="29" spans="1:3" ht="13.5">
      <c r="A29" s="2986"/>
      <c r="B29" s="2985"/>
      <c r="C29" s="2002" t="s">
        <v>1680</v>
      </c>
    </row>
    <row r="30" spans="1:3" ht="13.5">
      <c r="A30" s="2986"/>
      <c r="B30" s="2985"/>
      <c r="C30" s="2002" t="s">
        <v>1681</v>
      </c>
    </row>
    <row r="31" spans="1:3" ht="13.5">
      <c r="A31" s="2986"/>
      <c r="B31" s="2985"/>
      <c r="C31" s="2002" t="s">
        <v>1682</v>
      </c>
    </row>
    <row r="32" spans="1:3" ht="13.5">
      <c r="A32" s="2986"/>
      <c r="B32" s="2985"/>
      <c r="C32" s="2002" t="s">
        <v>1683</v>
      </c>
    </row>
    <row r="33" spans="1:3" ht="13.5">
      <c r="A33" s="2986"/>
      <c r="B33" s="2985"/>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43488</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44395</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t="str">
        <f ca="1">IF(C10&lt;B2,"已过期",1120060040)</f>
        <v>已过期</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c r="B12" s="1025"/>
      <c r="C12" s="2941"/>
      <c r="D12" s="1704"/>
      <c r="E12" s="1025"/>
      <c r="F12" s="1033"/>
    </row>
    <row r="13" spans="1:6" ht="24" customHeight="1">
      <c r="A13" s="1704" t="s">
        <v>840</v>
      </c>
      <c r="B13" s="1025">
        <f ca="1">IF(C13&lt;B2,"已过期",1120070131)</f>
        <v>1120070131</v>
      </c>
      <c r="C13" s="2350">
        <v>43814</v>
      </c>
      <c r="D13" s="2353" t="s">
        <v>840</v>
      </c>
      <c r="E13" s="1025">
        <f ca="1">IF(F13&lt;B2,"已过期",2014110011)</f>
        <v>2014110011</v>
      </c>
      <c r="F13" s="1033">
        <v>49302</v>
      </c>
    </row>
    <row r="14" spans="1:6" ht="24" customHeight="1">
      <c r="A14" s="1704" t="s">
        <v>3047</v>
      </c>
      <c r="B14" s="1025">
        <f ca="1">IF(C14&lt;B2,"已过期",1120040230)</f>
        <v>1120040230</v>
      </c>
      <c r="C14" s="2350">
        <v>43835</v>
      </c>
      <c r="D14" s="2353" t="s">
        <v>3047</v>
      </c>
      <c r="E14" s="1025">
        <f ca="1">IF(F14&lt;B2,"已过期",98030020)</f>
        <v>98030020</v>
      </c>
      <c r="F14" s="1033">
        <v>47118</v>
      </c>
    </row>
    <row r="15" spans="1:6" ht="24" customHeight="1">
      <c r="A15" s="1705" t="s">
        <v>3048</v>
      </c>
      <c r="B15" s="1025">
        <f ca="1">IF(C15&lt;B2,"已过期",1120070085)</f>
        <v>1120070085</v>
      </c>
      <c r="C15" s="2350">
        <v>43814</v>
      </c>
      <c r="D15" s="2354" t="s">
        <v>3048</v>
      </c>
      <c r="E15" s="1025">
        <f ca="1">IF(F15&lt;B2,"已过期",2004110128)</f>
        <v>2004110128</v>
      </c>
      <c r="F15" s="1026">
        <v>47118</v>
      </c>
    </row>
    <row r="16" spans="1:6" ht="24" customHeight="1">
      <c r="A16" s="1704" t="s">
        <v>3049</v>
      </c>
      <c r="B16" s="1025">
        <f ca="1">IF(C16&lt;B2,"已过期",1120140022)</f>
        <v>1120140022</v>
      </c>
      <c r="C16" s="2941">
        <v>44029</v>
      </c>
      <c r="D16" s="2353" t="s">
        <v>3049</v>
      </c>
      <c r="E16" s="1025">
        <f ca="1">IF(F16&lt;B2,"已过期",2008110059)</f>
        <v>2008110059</v>
      </c>
      <c r="F16" s="1033">
        <v>47177</v>
      </c>
    </row>
    <row r="17" spans="1:7" ht="24" customHeight="1">
      <c r="A17" s="1704"/>
      <c r="B17" s="1025"/>
      <c r="C17" s="2350"/>
      <c r="D17" s="2353" t="s">
        <v>3050</v>
      </c>
      <c r="E17" s="1025">
        <f ca="1">IF(F17&lt;B2,"已过期",2014110076)</f>
        <v>2014110076</v>
      </c>
      <c r="F17" s="1033">
        <v>49302</v>
      </c>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841</v>
      </c>
      <c r="E21" s="1025">
        <f ca="1">IF(F21&lt;B2,"已过期",2011110090)</f>
        <v>2011110090</v>
      </c>
      <c r="F21" s="1033">
        <v>48302</v>
      </c>
    </row>
    <row r="22" spans="1:7" ht="24" customHeight="1">
      <c r="A22" s="1704" t="s">
        <v>842</v>
      </c>
      <c r="B22" s="1025">
        <f ca="1">IF(C22&lt;B2,"已过期",1120020033)</f>
        <v>1120020033</v>
      </c>
      <c r="C22" s="2941">
        <v>44339</v>
      </c>
      <c r="D22" s="2353" t="s">
        <v>842</v>
      </c>
      <c r="E22" s="1025">
        <f ca="1">IF(F22&lt;B2,"已过期",2000110137)</f>
        <v>2000110137</v>
      </c>
      <c r="F22" s="1033">
        <v>46387</v>
      </c>
    </row>
    <row r="23" spans="1:7" ht="24" customHeight="1">
      <c r="A23" s="1704"/>
      <c r="B23" s="1025"/>
      <c r="C23" s="2350"/>
      <c r="D23" s="2353"/>
      <c r="E23" s="1025"/>
      <c r="F23" s="1025"/>
    </row>
    <row r="24" spans="1:7" s="1027" customFormat="1" ht="24" customHeight="1">
      <c r="A24" s="1705" t="s">
        <v>1329</v>
      </c>
      <c r="B24" s="1705" t="s">
        <v>1329</v>
      </c>
      <c r="C24" s="2351" t="s">
        <v>1329</v>
      </c>
      <c r="D24" s="2354" t="s">
        <v>1329</v>
      </c>
      <c r="E24" s="1705" t="s">
        <v>1329</v>
      </c>
      <c r="F24" s="1705"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2019-01-23T05:24:35Z</dcterms:modified>
</cp:coreProperties>
</file>