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4760" windowHeight="1173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U2" i="43" l="1"/>
  <c r="U5" i="43"/>
  <c r="U4" i="43"/>
  <c r="U3" i="43"/>
  <c r="G3"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c r="D125" i="9"/>
  <c r="D11" i="52" s="1"/>
  <c r="H111" i="9"/>
  <c r="D126" i="9" s="1"/>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M27" i="67"/>
  <c r="M24" i="67"/>
  <c r="M24" i="15"/>
  <c r="F36" i="67"/>
  <c r="AO6" i="1"/>
  <c r="E2" i="68"/>
  <c r="F6" i="73"/>
  <c r="D2" i="33"/>
  <c r="F37" i="67"/>
  <c r="AO9" i="1"/>
  <c r="B10" i="76"/>
  <c r="J15" i="67"/>
  <c r="L47" i="67"/>
  <c r="M6" i="67"/>
  <c r="M6" i="15"/>
  <c r="AO13" i="1"/>
  <c r="M9" i="15"/>
  <c r="M8" i="15"/>
  <c r="E11" i="76"/>
  <c r="B9" i="76"/>
  <c r="E12" i="76"/>
  <c r="F38" i="15"/>
  <c r="F8" i="15"/>
  <c r="J15" i="15"/>
  <c r="F40" i="15"/>
  <c r="D34" i="9"/>
  <c r="E8" i="76"/>
  <c r="F26" i="67"/>
  <c r="M26" i="15"/>
  <c r="F9" i="67"/>
  <c r="C20" i="9"/>
  <c r="D6" i="73"/>
  <c r="D4" i="73"/>
  <c r="F43" i="15"/>
  <c r="D19" i="9"/>
  <c r="F9" i="15"/>
  <c r="E9" i="76"/>
  <c r="C19" i="9"/>
  <c r="F6" i="15"/>
  <c r="B8" i="76"/>
  <c r="M23" i="15"/>
  <c r="M29" i="15"/>
  <c r="D2" i="36"/>
  <c r="L48" i="15"/>
  <c r="C76" i="15"/>
  <c r="AO11" i="1"/>
  <c r="E13" i="76"/>
  <c r="B13" i="76"/>
  <c r="D20" i="9"/>
  <c r="F20" i="31"/>
  <c r="F43" i="67"/>
  <c r="F3" i="73"/>
  <c r="E7" i="76"/>
  <c r="F42" i="67"/>
  <c r="M28" i="67"/>
  <c r="D2" i="21"/>
  <c r="F37" i="15"/>
  <c r="F13" i="15"/>
  <c r="F42" i="15"/>
  <c r="F4" i="73"/>
  <c r="M27" i="15"/>
  <c r="M8" i="67"/>
  <c r="AO7" i="1"/>
  <c r="F7" i="15"/>
  <c r="F7" i="73"/>
  <c r="F26" i="15"/>
  <c r="M29" i="67"/>
  <c r="L48" i="67"/>
  <c r="B12" i="76"/>
  <c r="D35" i="9"/>
  <c r="F16" i="67"/>
  <c r="F36" i="15"/>
  <c r="F8" i="67"/>
  <c r="L47" i="15"/>
  <c r="C76" i="67"/>
  <c r="E2" i="69"/>
  <c r="F38" i="67"/>
  <c r="D5" i="73"/>
  <c r="F41" i="15"/>
  <c r="D2" i="34"/>
  <c r="F13" i="67"/>
  <c r="F40" i="67"/>
  <c r="M22" i="15"/>
  <c r="F6" i="67"/>
  <c r="F16" i="15"/>
  <c r="D7" i="73"/>
  <c r="D2" i="37"/>
  <c r="AO12" i="1"/>
  <c r="M9" i="67"/>
  <c r="B7" i="76"/>
  <c r="E10" i="76"/>
  <c r="D3" i="73"/>
  <c r="F41" i="67"/>
  <c r="M26" i="67"/>
  <c r="AO8" i="1"/>
  <c r="D2" i="35"/>
  <c r="M22" i="67"/>
  <c r="M23" i="67"/>
  <c r="AO10" i="1"/>
  <c r="B11" i="76"/>
  <c r="F5" i="73"/>
  <c r="F7" i="67"/>
  <c r="M28" i="15"/>
  <c r="I14" i="74" l="1"/>
  <c r="B8" i="74" s="1"/>
  <c r="D12" i="52"/>
  <c r="D127" i="9"/>
  <c r="D13" i="52" s="1"/>
  <c r="D19" i="53"/>
  <c r="H112" i="9"/>
  <c r="D21" i="53" s="1"/>
  <c r="B39" i="72" s="1"/>
  <c r="B19" i="53"/>
  <c r="B37" i="72" s="1"/>
  <c r="D26" i="43"/>
  <c r="C48" i="69"/>
  <c r="C23" i="43"/>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67"/>
  <c r="C16" i="15"/>
  <c r="B38" i="72" l="1"/>
  <c r="D20" i="53"/>
  <c r="B40" i="72"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10" i="39" l="1"/>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U10" i="40" l="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E33"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V18" i="43"/>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E6" i="76"/>
  <c r="B6" i="76"/>
  <c r="C13" i="67" l="1"/>
  <c r="C75" i="67" s="1"/>
  <c r="J14" i="67"/>
  <c r="J13" i="67" s="1"/>
  <c r="J23" i="67" s="1"/>
  <c r="Q49" i="67"/>
  <c r="J19" i="67"/>
  <c r="C57" i="67"/>
  <c r="C64" i="67" s="1"/>
  <c r="C33" i="67"/>
  <c r="J59" i="67"/>
  <c r="J60" i="67" s="1"/>
  <c r="L46" i="67"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Q70" i="67" l="1"/>
  <c r="C56" i="67"/>
  <c r="C65" i="67" s="1"/>
  <c r="C37" i="67"/>
  <c r="J22" i="67"/>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F35" i="67"/>
  <c r="M21"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81" i="9"/>
  <c r="I4" i="52"/>
  <c r="C105" i="9"/>
  <c r="C86" i="9"/>
  <c r="F14" i="74"/>
  <c r="E14" i="74"/>
  <c r="M48" i="9"/>
  <c r="B32" i="72"/>
  <c r="C73" i="9"/>
  <c r="E81" i="9"/>
  <c r="D5" i="74"/>
  <c r="B5" i="74"/>
  <c r="C5" i="74"/>
  <c r="M68" i="9"/>
  <c r="M64" i="9"/>
  <c r="C80" i="9"/>
  <c r="E80" i="9"/>
  <c r="H4" i="52"/>
  <c r="C104" i="9"/>
  <c r="D14" i="74"/>
  <c r="M66" i="9"/>
  <c r="D8" i="52"/>
  <c r="D52" i="9"/>
  <c r="C93" i="9"/>
  <c r="D53" i="9"/>
  <c r="C78" i="9"/>
  <c r="N58" i="9"/>
  <c r="P57" i="9"/>
  <c r="H108" i="9"/>
  <c r="D15" i="53"/>
  <c r="B31" i="72"/>
  <c r="B30" i="72"/>
  <c r="D13" i="53"/>
  <c r="D14" i="53"/>
  <c r="M65" i="9"/>
  <c r="M67" i="9"/>
  <c r="B22" i="72"/>
  <c r="B47" i="72"/>
  <c r="D4" i="52"/>
  <c r="B48" i="72"/>
  <c r="N61" i="9"/>
  <c r="N60" i="9"/>
  <c r="L68" i="9"/>
  <c r="L66" i="9"/>
  <c r="L65" i="9"/>
  <c r="L67" i="9"/>
  <c r="N59" i="9"/>
  <c r="L64" i="9"/>
  <c r="B49" i="72"/>
  <c r="M55" i="9"/>
  <c r="B53" i="72"/>
  <c r="B21" i="72"/>
  <c r="M69" i="9"/>
  <c r="N69" i="9"/>
  <c r="G4" i="52"/>
  <c r="B52" i="72"/>
  <c r="D56" i="9"/>
  <c r="M54" i="9"/>
  <c r="D6" i="74"/>
  <c r="G14" i="74"/>
  <c r="B6" i="74"/>
  <c r="C6" i="74"/>
  <c r="D55" i="9"/>
  <c r="M53" i="9"/>
  <c r="N57" i="9"/>
  <c r="D6" i="53"/>
  <c r="D5" i="53"/>
  <c r="B20" i="72"/>
  <c r="E4" i="52"/>
  <c r="H119" i="9"/>
  <c r="H5" i="52"/>
  <c r="D59" i="9"/>
  <c r="D122" i="9"/>
  <c r="D123" i="9"/>
  <c r="D9" i="52"/>
  <c r="C72" i="9"/>
  <c r="C79" i="9"/>
  <c r="H102" i="9"/>
  <c r="D7" i="53"/>
  <c r="C97" i="9"/>
  <c r="D58" i="9"/>
  <c r="C85" i="9"/>
  <c r="C95" i="9"/>
  <c r="C96" i="9"/>
  <c r="E96" i="9"/>
  <c r="E97" i="9"/>
  <c r="F119" i="9"/>
  <c r="F5" i="52"/>
  <c r="D45" i="9"/>
  <c r="C64" i="9"/>
  <c r="C63" i="9"/>
  <c r="C67" i="9"/>
  <c r="C68" i="9"/>
  <c r="D54" i="9"/>
  <c r="E118" i="9"/>
  <c r="D118" i="9"/>
  <c r="D119" i="9"/>
  <c r="D5" i="52"/>
  <c r="G118" i="9"/>
  <c r="F118" i="9"/>
  <c r="F4" i="52"/>
  <c r="B51" i="72"/>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<sst xmlns="http://schemas.openxmlformats.org/spreadsheetml/2006/main" count="7720" uniqueCount="3110">
  <si>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</si>
  <si>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</si>
  <si>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</si>
  <si>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</si>
  <si>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</si>
  <si>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</si>
  <si>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</si>
  <si>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</si>
  <si>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</si>
  <si>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</si>
  <si>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</si>
  <si>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</si>
  <si>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</si>
  <si>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</si>
  <si>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</si>
  <si>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</si>
  <si>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</si>
  <si>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</si>
  <si>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</si>
  <si>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</si>
  <si>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</si>
  <si>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</si>
  <si>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</si>
  <si>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</si>
  <si>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</si>
  <si>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</si>
  <si>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</si>
  <si>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</si>
  <si>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</si>
  <si>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</si>
  <si>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</si>
  <si>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</si>
  <si>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</si>
  <si>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</si>
  <si>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</si>
  <si>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</si>
  <si>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</si>
  <si>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</si>
  <si>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</si>
  <si>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</si>
  <si>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</si>
  <si>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</si>
  <si>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</si>
  <si>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</si>
  <si>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</si>
  <si>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</si>
  <si>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</si>
  <si>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</si>
  <si>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</si>
  <si>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</si>
  <si>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</si>
  <si>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</si>
  <si>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</si>
  <si>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</si>
  <si>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</si>
  <si>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</si>
  <si>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</si>
  <si>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</si>
  <si>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</si>
  <si>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</si>
  <si>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</si>
  <si>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</si>
  <si>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</si>
  <si>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</si>
  <si>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</si>
  <si>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</si>
  <si>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</si>
  <si>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</si>
  <si>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</si>
  <si>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</si>
  <si>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</si>
  <si>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</si>
  <si>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</si>
  <si>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</si>
  <si>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</si>
  <si>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</si>
  <si>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</si>
  <si>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</si>
  <si>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</si>
  <si>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</si>
  <si>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</si>
  <si>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</si>
  <si>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</si>
  <si>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</si>
  <si>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</si>
  <si>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</si>
  <si>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</si>
  <si>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</si>
  <si>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</si>
  <si>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</si>
  <si>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</si>
  <si>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</si>
  <si>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</si>
  <si>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</si>
  <si>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</si>
  <si>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</si>
  <si>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</si>
  <si>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</si>
  <si>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</si>
  <si>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</si>
  <si>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</si>
  <si>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</si>
  <si>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</si>
  <si>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</si>
  <si>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</si>
  <si>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</si>
  <si>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</si>
  <si>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</si>
  <si>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</si>
  <si>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</si>
  <si>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</si>
  <si>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</si>
  <si>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</si>
  <si>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</si>
  <si>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</si>
  <si>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</si>
  <si>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</si>
  <si>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</si>
  <si>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</si>
  <si>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</si>
  <si>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</si>
  <si>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</si>
  <si>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</si>
  <si>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</si>
  <si>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</si>
  <si>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</si>
  <si>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</si>
  <si>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</si>
  <si>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</si>
  <si>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</si>
  <si>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</si>
  <si>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</si>
  <si>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</si>
  <si>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</si>
  <si>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</si>
  <si>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</si>
  <si>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</si>
  <si>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</si>
  <si>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</si>
  <si>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</si>
  <si>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</si>
  <si>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</si>
  <si>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</si>
  <si>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</si>
  <si>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</si>
  <si>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</si>
  <si>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</si>
  <si>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</si>
  <si>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</si>
  <si>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</si>
  <si>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</si>
  <si>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</si>
  <si>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</si>
  <si>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</si>
  <si>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</si>
  <si>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</si>
  <si>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</si>
  <si>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</si>
  <si>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</si>
  <si>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</si>
  <si>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</si>
  <si>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</si>
  <si>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</si>
  <si>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</si>
  <si>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</si>
  <si>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</si>
  <si>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</si>
  <si>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</si>
  <si>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</si>
  <si>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</si>
  <si>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</si>
  <si>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</si>
  <si>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</si>
  <si>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</si>
  <si>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</si>
  <si>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</si>
  <si>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</si>
  <si>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</si>
  <si>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</si>
  <si>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</si>
  <si>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</si>
  <si>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</si>
  <si>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</si>
  <si>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</si>
  <si>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</si>
  <si>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</si>
  <si>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</si>
  <si>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</si>
  <si>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</si>
  <si>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</si>
  <si>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</si>
  <si>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</si>
  <si>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</si>
  <si>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</si>
  <si>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</si>
  <si>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</si>
  <si>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</si>
  <si>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</si>
  <si>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</si>
  <si>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</si>
  <si>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</si>
  <si>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</si>
  <si>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</si>
  <si>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</si>
  <si>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</si>
  <si>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</si>
  <si>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</si>
  <si>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</si>
  <si>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</si>
  <si>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</si>
  <si>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</si>
  <si>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</si>
  <si>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</si>
  <si>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</si>
  <si>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</si>
  <si>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</si>
  <si>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</si>
  <si>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</si>
  <si>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</si>
  <si>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</si>
  <si>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</si>
  <si>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</si>
  <si>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</si>
  <si>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</si>
  <si>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</si>
  <si>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</si>
  <si>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</si>
  <si>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</si>
  <si>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</si>
  <si>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</si>
  <si>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</si>
  <si>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</si>
  <si>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</si>
  <si>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</si>
  <si>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</si>
  <si>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</si>
  <si>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</si>
  <si>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</si>
  <si>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</si>
  <si>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</si>
  <si>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</si>
  <si>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</si>
  <si>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</si>
  <si>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</si>
  <si>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</si>
  <si>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</si>
  <si>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</si>
  <si>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</si>
  <si>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</si>
  <si>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</si>
  <si>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</si>
  <si>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</si>
  <si>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</si>
  <si>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</si>
  <si>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</si>
  <si>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</si>
  <si>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</si>
  <si>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</si>
  <si>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</si>
  <si>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</si>
  <si>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</si>
  <si>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</si>
  <si>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</si>
  <si>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</si>
  <si>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</si>
  <si>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</si>
  <si>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</si>
  <si>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</si>
  <si>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</si>
  <si>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</si>
  <si>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</si>
  <si>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</si>
  <si>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</si>
  <si>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</si>
  <si>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</si>
  <si>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</si>
  <si>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</si>
  <si>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</si>
  <si>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</si>
  <si>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</si>
  <si>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</si>
  <si>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</si>
  <si>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</si>
  <si>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</si>
  <si>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</si>
  <si>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</si>
  <si>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</si>
  <si>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</si>
  <si>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</si>
  <si>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</si>
  <si>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</si>
  <si>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</si>
  <si>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</si>
  <si>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</si>
  <si>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</si>
  <si>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</si>
  <si>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</si>
  <si>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</si>
  <si>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</si>
  <si>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</si>
  <si>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</si>
  <si>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</si>
  <si>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</si>
  <si>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</si>
  <si>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</si>
  <si>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</si>
  <si>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</si>
  <si>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</si>
  <si>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</si>
  <si>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</si>
  <si>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</si>
  <si>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</si>
  <si>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</si>
  <si>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</si>
  <si>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</si>
  <si>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</si>
  <si>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</si>
  <si>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</si>
  <si>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</si>
  <si>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</si>
  <si>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</si>
  <si>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</si>
  <si>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</si>
  <si>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</si>
  <si>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</si>
  <si>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</si>
  <si>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</si>
  <si>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</si>
  <si>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</si>
  <si>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</si>
  <si>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</si>
  <si>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</si>
  <si>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</si>
  <si>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</si>
  <si>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</si>
  <si>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</si>
  <si>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</si>
  <si>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</si>
  <si>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</si>
  <si>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</si>
  <si>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</si>
  <si>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</si>
  <si>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</si>
  <si>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</si>
  <si>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</si>
  <si>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</si>
  <si>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</si>
  <si>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</si>
  <si>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</si>
  <si>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</si>
  <si>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</si>
  <si>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</si>
  <si>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</si>
  <si>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</si>
  <si>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</si>
  <si>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</si>
  <si>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</si>
  <si>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</si>
  <si>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</si>
  <si>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</si>
  <si>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</si>
  <si>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</si>
  <si>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</si>
  <si>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</si>
  <si>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</si>
  <si>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</si>
  <si>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</si>
  <si>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</si>
  <si>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</si>
  <si>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</si>
  <si>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</si>
  <si>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</si>
  <si>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</si>
  <si>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</si>
  <si>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</si>
  <si>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</si>
  <si>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</si>
  <si>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</si>
  <si>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</si>
  <si>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</si>
  <si>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</si>
  <si>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</si>
  <si>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</si>
  <si>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</si>
  <si>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</si>
  <si>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</si>
  <si>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</si>
  <si>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</si>
  <si>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</si>
  <si>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</si>
  <si>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</si>
  <si>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</si>
  <si>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</si>
  <si>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</si>
  <si>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</si>
  <si>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</si>
  <si>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</si>
  <si>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</si>
  <si>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</si>
  <si>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</si>
  <si>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</si>
  <si>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</si>
  <si>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</si>
  <si>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</si>
  <si>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</si>
  <si>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</si>
  <si>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</si>
  <si>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</si>
  <si>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</si>
  <si>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</si>
  <si>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</si>
  <si>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</si>
  <si>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</si>
  <si>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</si>
  <si>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</si>
  <si>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</si>
  <si>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</si>
  <si>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</si>
  <si>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</si>
  <si>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</si>
  <si>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</si>
  <si>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</si>
  <si>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</si>
  <si>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</si>
  <si>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</si>
  <si>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</si>
  <si>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</si>
  <si>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</si>
  <si>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</si>
  <si>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</si>
  <si>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</si>
  <si>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</si>
  <si>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</si>
  <si>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</si>
  <si>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</si>
  <si>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</si>
  <si>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</si>
  <si>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</si>
  <si>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</si>
  <si>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</si>
  <si>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</si>
  <si>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</si>
  <si>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</si>
  <si>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</si>
  <si>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</si>
  <si>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</si>
  <si>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</si>
  <si>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</si>
  <si>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</si>
  <si>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</si>
  <si>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</si>
  <si>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</si>
  <si>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</si>
  <si>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</si>
  <si>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</si>
  <si>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</si>
  <si>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</si>
  <si>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</si>
  <si>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</si>
  <si>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</si>
  <si>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</si>
  <si>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</si>
  <si>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</si>
  <si>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</si>
  <si>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</si>
  <si>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</si>
  <si>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</si>
  <si>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</si>
  <si>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</si>
  <si>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</si>
  <si>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</si>
  <si>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</si>
  <si>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</si>
  <si>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</si>
  <si>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</si>
  <si>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</si>
  <si>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</si>
  <si>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</si>
  <si>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</si>
  <si>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</si>
  <si>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</si>
  <si>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</si>
  <si>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</si>
  <si>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</si>
  <si>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</si>
  <si>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</si>
  <si>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</si>
  <si>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</si>
  <si>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</si>
  <si>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</si>
  <si>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</si>
  <si>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</si>
  <si>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</si>
  <si>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</si>
  <si>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</si>
  <si>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</si>
  <si>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</si>
  <si>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</si>
  <si>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</si>
  <si>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</si>
  <si>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</si>
  <si>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</si>
  <si>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</si>
  <si>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</si>
  <si>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</si>
  <si>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</si>
  <si>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</si>
  <si>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</si>
  <si>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</si>
  <si>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</si>
  <si>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</si>
  <si>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</si>
  <si>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</si>
  <si>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</si>
  <si>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</si>
  <si>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</si>
  <si>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</si>
  <si>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</si>
  <si>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</si>
  <si>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</si>
  <si>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</si>
  <si>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</si>
  <si>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</si>
  <si>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</si>
  <si>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</si>
  <si>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</si>
  <si>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</si>
  <si>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</si>
  <si>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</si>
  <si>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</si>
  <si>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</si>
  <si>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</si>
  <si>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</si>
  <si>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</si>
  <si>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</si>
  <si>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</si>
  <si>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</si>
  <si>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</si>
  <si>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</si>
  <si>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</si>
  <si>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</si>
  <si>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</si>
  <si>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</si>
  <si>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</si>
  <si>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</si>
  <si>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</si>
  <si>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</si>
  <si>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</si>
  <si>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</si>
  <si>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</si>
  <si>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</si>
  <si>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</si>
  <si>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</si>
  <si>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</si>
  <si>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</si>
  <si>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</si>
  <si>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</si>
  <si>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</si>
  <si>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</si>
  <si>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</si>
  <si>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</si>
  <si>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</si>
  <si>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</si>
  <si>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</si>
  <si>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</si>
  <si>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</si>
  <si>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</si>
  <si>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</si>
  <si>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</si>
  <si>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</si>
  <si>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</si>
  <si>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</si>
  <si>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</si>
  <si>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</si>
  <si>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</si>
  <si>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</si>
  <si>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</si>
  <si>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</si>
  <si>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</si>
  <si>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</si>
  <si>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</si>
  <si>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</si>
  <si>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</si>
  <si>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</si>
  <si>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</si>
  <si>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</si>
  <si>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</si>
  <si>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</si>
  <si>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</si>
  <si>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</si>
  <si>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</si>
  <si>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</si>
  <si>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</si>
  <si>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</si>
  <si>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</si>
  <si>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</si>
  <si>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</si>
  <si>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</si>
  <si>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</si>
  <si>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</si>
  <si>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</si>
  <si>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</si>
  <si>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</si>
  <si>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</si>
  <si>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</si>
  <si>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</si>
  <si>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</si>
  <si>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</si>
  <si>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</si>
  <si>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</si>
  <si>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</si>
  <si>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</si>
  <si>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</si>
  <si>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</si>
  <si>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</si>
  <si>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</si>
  <si>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</si>
  <si>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</si>
  <si>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</si>
  <si>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</si>
  <si>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</si>
  <si>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</si>
  <si>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</si>
  <si>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</si>
  <si>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</si>
  <si>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</si>
  <si>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</si>
  <si>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</si>
  <si>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</si>
  <si>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</si>
  <si>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</si>
  <si>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</si>
  <si>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</si>
  <si>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</si>
  <si>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</si>
  <si>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</si>
  <si>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</si>
  <si>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</si>
  <si>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</si>
  <si>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</si>
  <si>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</si>
  <si>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</si>
  <si>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</si>
  <si>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</si>
  <si>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</si>
  <si>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</si>
  <si>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</si>
  <si>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</si>
  <si>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</si>
  <si>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</si>
  <si>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</si>
  <si>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</si>
  <si>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</si>
  <si>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</si>
  <si>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</si>
  <si>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</si>
  <si>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</si>
  <si>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</si>
  <si>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</si>
  <si>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</si>
  <si>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</si>
  <si>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</si>
  <si>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</si>
  <si>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</si>
  <si>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</si>
  <si>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</si>
  <si>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</si>
  <si>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</si>
  <si>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</si>
  <si>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</si>
  <si>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</si>
  <si>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</si>
  <si>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</si>
  <si>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</si>
  <si>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</si>
  <si>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</si>
  <si>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</si>
  <si>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</si>
  <si>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</si>
  <si>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</si>
  <si>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</si>
  <si>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</si>
  <si>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</si>
  <si>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</si>
  <si>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</si>
  <si>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</si>
  <si>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</si>
  <si>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</si>
  <si>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</si>
  <si>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</si>
  <si>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</si>
  <si>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</si>
  <si>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</si>
  <si>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</si>
  <si>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</si>
  <si>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</si>
  <si>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</si>
  <si>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</si>
  <si>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</si>
  <si>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</si>
  <si>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</si>
  <si>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</si>
  <si>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</si>
  <si>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</si>
  <si>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</si>
  <si>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</si>
  <si>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</si>
  <si>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</si>
  <si>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</si>
  <si>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</si>
  <si>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</si>
  <si>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</si>
  <si>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</si>
  <si>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</si>
  <si>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</si>
  <si>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</si>
  <si>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</si>
  <si>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</si>
  <si>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</si>
  <si>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</si>
  <si>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</si>
  <si>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</si>
  <si>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</si>
  <si>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</si>
  <si>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</si>
  <si>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</si>
  <si>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</si>
  <si>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</si>
  <si>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</si>
  <si>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</si>
  <si>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</si>
  <si>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</si>
  <si>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</si>
  <si>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</si>
  <si>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</si>
  <si>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</si>
  <si>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</si>
  <si>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</si>
  <si>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</si>
  <si>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</si>
  <si>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</si>
  <si>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</si>
  <si>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</si>
  <si>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</si>
  <si>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</si>
  <si>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</si>
  <si>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</si>
  <si>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</si>
  <si>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</si>
  <si>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</si>
  <si>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</si>
  <si>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</si>
  <si>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</si>
  <si>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</si>
  <si>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</si>
  <si>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</si>
  <si>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</si>
  <si>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</si>
  <si>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</si>
  <si>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</si>
  <si>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</si>
  <si>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</si>
  <si>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</si>
  <si>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</si>
  <si>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</si>
  <si>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</si>
  <si>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</si>
  <si>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</si>
  <si>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</si>
  <si>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</si>
  <si>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</si>
  <si>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</si>
  <si>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</si>
  <si>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</si>
  <si>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</si>
  <si>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</si>
  <si>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</si>
  <si>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</si>
  <si>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</si>
  <si>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</si>
  <si>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</si>
  <si>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</si>
  <si>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</si>
  <si>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</si>
  <si>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</si>
  <si>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</si>
  <si>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</si>
  <si>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</si>
  <si>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</si>
  <si>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</si>
  <si>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</si>
  <si>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</si>
  <si>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</si>
  <si>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</si>
  <si>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</si>
  <si>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</si>
  <si>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</si>
  <si>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</si>
  <si>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</si>
  <si>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</si>
  <si>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</si>
  <si>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</si>
  <si>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</si>
  <si>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</si>
  <si>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</si>
  <si>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</si>
  <si>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</si>
  <si>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</si>
  <si>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</si>
  <si>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</si>
  <si>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</si>
  <si>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</si>
  <si>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</si>
  <si>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</si>
  <si>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</si>
  <si>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</si>
  <si>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</si>
  <si>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</si>
  <si>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</si>
  <si>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</si>
  <si>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</si>
  <si>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</si>
  <si>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</si>
  <si>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</si>
  <si>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</si>
  <si>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</si>
  <si>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</si>
  <si>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</si>
  <si>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</si>
  <si>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</si>
  <si>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</si>
  <si>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</si>
  <si>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</si>
  <si>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</si>
  <si>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</si>
  <si>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</si>
  <si>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</si>
  <si>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</si>
  <si>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</si>
  <si>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</si>
  <si>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</si>
  <si>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</si>
  <si>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</si>
  <si>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</si>
  <si>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</si>
  <si>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</si>
  <si>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</si>
  <si>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</si>
  <si>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</si>
  <si>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</si>
  <si>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</si>
  <si>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</si>
  <si>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</si>
  <si>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</si>
  <si>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</si>
  <si>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</si>
  <si>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</si>
  <si>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</si>
  <si>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</si>
  <si>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</si>
  <si>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</si>
  <si>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</si>
  <si>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</si>
  <si>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</si>
  <si>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</si>
  <si>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</si>
  <si>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</si>
  <si>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</si>
  <si>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</si>
  <si>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</si>
  <si>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</si>
  <si>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</si>
  <si>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</si>
  <si>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</si>
  <si>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</si>
  <si>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</si>
  <si>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</si>
  <si>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</si>
  <si>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</si>
  <si>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</si>
  <si>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</si>
  <si>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</si>
  <si>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</si>
  <si>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</si>
  <si>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</si>
  <si>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</si>
  <si>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</si>
  <si>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</si>
  <si>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</si>
  <si>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</si>
  <si>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</si>
  <si>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</si>
  <si>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</si>
  <si>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</si>
  <si>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</si>
  <si>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</si>
  <si>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</si>
  <si>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</si>
  <si>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</si>
  <si>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</si>
  <si>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</si>
  <si>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</si>
  <si>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</si>
  <si>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</si>
  <si>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</si>
  <si>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</si>
  <si>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</si>
  <si>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</si>
  <si>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</si>
  <si>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</si>
  <si>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</si>
  <si>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</si>
  <si>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</si>
  <si>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</si>
  <si>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</si>
  <si>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</si>
  <si>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</si>
  <si>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</si>
  <si>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</si>
  <si>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</si>
  <si>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</si>
  <si>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</si>
  <si>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</si>
  <si>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</si>
  <si>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</si>
  <si>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</si>
  <si>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</si>
  <si>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</si>
  <si>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</si>
  <si>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</si>
  <si>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</si>
  <si>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</si>
  <si>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</si>
  <si>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</si>
  <si>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</si>
  <si>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</si>
  <si>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</si>
  <si>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</si>
  <si>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</si>
  <si>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</si>
  <si>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</si>
  <si>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</si>
  <si>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</si>
  <si>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</si>
  <si>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</si>
  <si>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</si>
  <si>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</si>
  <si>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</si>
  <si>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</si>
  <si>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</si>
  <si>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</si>
  <si>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</si>
  <si>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</si>
  <si>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</si>
  <si>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</si>
  <si>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</si>
  <si>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</si>
  <si>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</si>
  <si>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</si>
  <si>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</si>
  <si>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</si>
  <si>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</si>
  <si>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</si>
  <si>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</si>
  <si>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</si>
  <si>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</si>
  <si>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</si>
  <si>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</si>
  <si>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</si>
  <si>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</si>
  <si>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</si>
  <si>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</si>
  <si>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</si>
  <si>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</si>
  <si>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</si>
  <si>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</si>
  <si>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</si>
  <si>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</si>
  <si>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</si>
  <si>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</si>
  <si>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</si>
  <si>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</si>
  <si>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</si>
  <si>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</si>
  <si>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</si>
  <si>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</si>
  <si>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</si>
  <si>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</si>
  <si>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</si>
  <si>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</si>
  <si>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</si>
  <si>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</si>
  <si>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</si>
  <si>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</si>
  <si>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</si>
  <si>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</si>
  <si>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</si>
  <si>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</si>
  <si>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</si>
  <si>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</si>
  <si>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</si>
  <si>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</si>
  <si>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</si>
  <si>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</si>
  <si>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</si>
  <si>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</si>
  <si>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</si>
  <si>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</si>
  <si>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</si>
  <si>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</si>
  <si>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</si>
  <si>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</si>
  <si>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</si>
  <si>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</si>
  <si>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</si>
  <si>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</si>
  <si>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</si>
  <si>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</si>
  <si>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</si>
  <si>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</si>
  <si>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</si>
  <si>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</si>
  <si>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</si>
  <si>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</si>
  <si>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</si>
  <si>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</si>
  <si>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</si>
  <si>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</si>
  <si>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</si>
  <si>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</si>
  <si>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</si>
  <si>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</si>
  <si>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</si>
  <si>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</si>
  <si>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</si>
  <si>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</si>
  <si>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</si>
  <si>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</si>
  <si>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</si>
  <si>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</si>
  <si>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</si>
  <si>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</si>
  <si>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</si>
  <si>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</si>
  <si>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</si>
  <si>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</si>
  <si>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</si>
  <si>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</si>
  <si>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</si>
  <si>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</si>
  <si>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</si>
  <si>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</si>
  <si>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</si>
  <si>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</si>
  <si>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</si>
  <si>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</si>
  <si>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</si>
  <si>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</si>
  <si>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</si>
  <si>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</si>
  <si>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</si>
  <si>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</si>
  <si>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</si>
  <si>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</si>
  <si>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</si>
  <si>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</si>
  <si>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</si>
  <si>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</si>
  <si>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</si>
  <si>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</si>
  <si>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</si>
  <si>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</si>
  <si>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</si>
  <si>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</si>
  <si>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</si>
  <si>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</si>
  <si>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</si>
  <si>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</si>
  <si>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</si>
  <si>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</si>
  <si>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</si>
  <si>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</si>
  <si>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</si>
  <si>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</si>
  <si>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</si>
  <si>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</si>
  <si>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</si>
  <si>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</si>
  <si>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</si>
  <si>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</si>
  <si>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</si>
  <si>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</si>
  <si>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</si>
  <si>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</si>
  <si>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</si>
  <si>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</si>
  <si>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</si>
  <si>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</si>
  <si>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</si>
  <si>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</si>
  <si>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</si>
  <si>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</si>
  <si>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</si>
  <si>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</si>
  <si>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</si>
  <si>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</si>
  <si>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</si>
  <si>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</si>
  <si>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</si>
  <si>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</si>
  <si>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</si>
  <si>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</si>
  <si>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</si>
  <si>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</si>
  <si>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</si>
  <si>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</si>
  <si>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</si>
  <si>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</si>
  <si>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</si>
  <si>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</si>
  <si>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</si>
  <si>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</si>
  <si>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</si>
  <si>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</si>
  <si>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</si>
  <si>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</si>
  <si>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</si>
  <si>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</si>
  <si>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</si>
  <si>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</si>
  <si>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</si>
  <si>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</si>
  <si>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</si>
  <si>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</si>
  <si>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</si>
  <si>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</si>
  <si>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</si>
  <si>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</si>
  <si>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</si>
  <si>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</si>
  <si>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</si>
  <si>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</si>
  <si>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</si>
  <si>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</si>
  <si>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</si>
  <si>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</si>
  <si>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</si>
  <si>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</si>
  <si>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</si>
  <si>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</si>
  <si>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</si>
  <si>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</si>
  <si>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</si>
  <si>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</si>
  <si>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</si>
  <si>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</si>
  <si>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</si>
  <si>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</si>
  <si>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</si>
  <si>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</si>
  <si>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</si>
  <si>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</si>
  <si>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</si>
  <si>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</si>
  <si>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</si>
  <si>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</si>
  <si>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</si>
  <si>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</si>
  <si>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</si>
  <si>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</si>
  <si>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</si>
  <si>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</si>
  <si>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</si>
  <si>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</si>
  <si>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</si>
  <si>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</si>
  <si>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</si>
  <si>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</si>
  <si>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</si>
  <si>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</si>
  <si>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</si>
  <si>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</si>
  <si>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</si>
  <si>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</si>
  <si>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</si>
  <si>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</si>
  <si>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</si>
  <si>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</si>
  <si>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</si>
  <si>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</si>
  <si>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</si>
  <si>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</si>
  <si>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</si>
  <si>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</si>
  <si>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</si>
  <si>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</si>
  <si>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</si>
  <si>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</si>
  <si>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</si>
  <si>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</si>
  <si>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</si>
  <si>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</si>
  <si>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</si>
  <si>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</si>
  <si>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</si>
  <si>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</si>
  <si>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</si>
  <si>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</si>
  <si>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</si>
  <si>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</si>
  <si>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</si>
  <si>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</si>
  <si>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</si>
  <si>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</si>
  <si>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</si>
  <si>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</si>
  <si>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</si>
  <si>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</si>
  <si>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</si>
  <si>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</si>
  <si>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</si>
  <si>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</si>
  <si>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</si>
  <si>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</si>
  <si>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</si>
  <si>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</si>
  <si>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</si>
  <si>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</si>
  <si>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</si>
  <si>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</si>
  <si>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</si>
  <si>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</si>
  <si>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</si>
  <si>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</si>
  <si>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</si>
  <si>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</si>
  <si>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</si>
  <si>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</si>
  <si>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</si>
  <si>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</si>
  <si>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</si>
  <si>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</si>
  <si>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</si>
  <si>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</si>
  <si>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</si>
  <si>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</si>
  <si>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</si>
  <si>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</si>
  <si>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</si>
  <si>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</si>
  <si>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</si>
  <si>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</si>
  <si>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</si>
  <si>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</si>
  <si>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</si>
  <si>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</si>
  <si>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</si>
  <si>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</si>
  <si>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</si>
  <si>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</si>
  <si>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</si>
  <si>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</si>
  <si>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</si>
  <si>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</si>
  <si>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</si>
  <si>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</si>
  <si>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</si>
  <si>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</si>
  <si>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</si>
  <si>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</si>
  <si>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</si>
  <si>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</si>
  <si>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</si>
  <si>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</si>
  <si>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</si>
  <si>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</si>
  <si>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</si>
  <si>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</si>
  <si>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</si>
  <si>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</si>
  <si>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</si>
  <si>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</si>
  <si>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</si>
  <si>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</si>
  <si>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</si>
  <si>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</si>
  <si>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</si>
  <si>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</si>
  <si>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</si>
  <si>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</si>
  <si>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</si>
  <si>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</si>
  <si>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</si>
  <si>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</si>
  <si>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</si>
  <si>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</si>
  <si>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</si>
  <si>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</si>
  <si>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</si>
  <si>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</si>
  <si>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</si>
  <si>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</si>
  <si>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</si>
  <si>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</si>
  <si>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</si>
  <si>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</si>
  <si>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</si>
  <si>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</si>
  <si>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</si>
  <si>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</si>
  <si>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</si>
  <si>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</si>
  <si>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</si>
  <si>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</si>
  <si>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</si>
  <si>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</si>
  <si>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</si>
  <si>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</si>
  <si>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</si>
  <si>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</si>
  <si>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</si>
  <si>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</si>
  <si>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</si>
  <si>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</si>
  <si>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</si>
  <si>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</si>
  <si>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</si>
  <si>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</si>
  <si>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</si>
  <si>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</si>
  <si>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</si>
  <si>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</si>
  <si>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</si>
  <si>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</si>
  <si>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</si>
  <si>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</si>
  <si>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</si>
  <si>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</si>
  <si>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</si>
  <si>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</si>
  <si>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</si>
  <si>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</si>
  <si>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</si>
  <si>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</si>
  <si>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</si>
  <si>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</si>
  <si>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</si>
  <si>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</si>
  <si>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</si>
  <si>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</si>
  <si>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</si>
  <si>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</si>
  <si>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</si>
  <si>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</si>
  <si>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</si>
  <si>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</si>
  <si>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</si>
  <si>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</si>
  <si>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</si>
  <si>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</si>
  <si>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</si>
  <si>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</si>
  <si>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</si>
  <si>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</si>
  <si>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</si>
  <si>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</si>
  <si>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</si>
  <si>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</si>
  <si>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</si>
  <si>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</si>
  <si>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</si>
  <si>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</si>
  <si>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</si>
  <si>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</si>
  <si>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</si>
  <si>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</si>
  <si>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</si>
  <si>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</si>
  <si>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</si>
  <si>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</si>
  <si>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</si>
  <si>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</si>
  <si>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</si>
  <si>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</si>
  <si>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</si>
  <si>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</si>
  <si>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</si>
  <si>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</si>
  <si>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</si>
  <si>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</si>
  <si>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</si>
  <si>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</si>
  <si>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</si>
  <si>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</si>
  <si>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</si>
  <si>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</si>
  <si>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</si>
  <si>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</si>
  <si>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</si>
  <si>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</si>
  <si>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</si>
  <si>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</si>
  <si>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</si>
  <si>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</si>
  <si>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</si>
  <si>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</si>
  <si>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</si>
  <si>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</si>
  <si>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</si>
  <si>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</si>
  <si>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</si>
  <si>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</si>
  <si>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</si>
  <si>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</si>
  <si>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</si>
  <si>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</si>
  <si>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</si>
  <si>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</si>
  <si>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</si>
  <si>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</si>
  <si>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</si>
  <si>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</si>
  <si>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</si>
  <si>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</si>
  <si>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</si>
  <si>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</si>
  <si>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</si>
  <si>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</si>
  <si>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</si>
  <si>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</si>
  <si>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</si>
  <si>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</si>
  <si>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</si>
  <si>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</si>
  <si>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</si>
  <si>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</si>
  <si>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</si>
  <si>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</si>
  <si>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</si>
  <si>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</si>
  <si>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</si>
  <si>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</si>
  <si>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</si>
  <si>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</si>
  <si>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</si>
  <si>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</si>
  <si>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</si>
  <si>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</si>
  <si>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</si>
  <si>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</si>
  <si>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</si>
  <si>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</si>
  <si>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</si>
  <si>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</si>
  <si>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</si>
  <si>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</si>
  <si>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</si>
  <si>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</si>
  <si>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</si>
  <si>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</si>
  <si>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</si>
  <si>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</si>
  <si>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</si>
  <si>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</si>
  <si>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</si>
  <si>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</si>
  <si>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</si>
  <si>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</si>
  <si>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</si>
  <si>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</si>
  <si>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</si>
  <si>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</si>
  <si>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</si>
  <si>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</si>
  <si>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</si>
  <si>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</si>
  <si>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</si>
  <si>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</si>
  <si>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</si>
  <si>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</si>
  <si>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</si>
  <si>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</si>
  <si>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</si>
  <si>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</si>
  <si>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</si>
  <si>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</si>
  <si>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</si>
  <si>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</si>
  <si>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</si>
  <si>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</si>
  <si>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</si>
  <si>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</si>
  <si>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</si>
  <si>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</si>
  <si>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</si>
  <si>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</si>
  <si>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</si>
  <si>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</si>
  <si>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</si>
  <si>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</si>
  <si>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</si>
  <si>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</si>
  <si>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</si>
  <si>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</si>
  <si>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</si>
  <si>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</si>
  <si>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</si>
  <si>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</si>
  <si>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</si>
  <si>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</si>
  <si>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</si>
  <si>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</si>
  <si>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</si>
  <si>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</si>
  <si>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</si>
  <si>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</si>
  <si>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</si>
  <si>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</si>
  <si>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</si>
  <si>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</si>
  <si>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</si>
  <si>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</si>
  <si>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</si>
  <si>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</si>
  <si>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</si>
  <si>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</si>
  <si>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</si>
  <si>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</si>
  <si>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</si>
  <si>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</si>
  <si>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</si>
  <si>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</si>
  <si>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</si>
  <si>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</si>
  <si>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</si>
  <si>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</si>
  <si>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</si>
  <si>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</si>
  <si>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</si>
  <si>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</si>
  <si>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</si>
  <si>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</si>
  <si>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</si>
  <si>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</si>
  <si>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</si>
  <si>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</si>
  <si>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</si>
  <si>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</si>
  <si>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</si>
  <si>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</si>
  <si>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</si>
  <si>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</si>
  <si>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</si>
  <si>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</si>
  <si>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</si>
  <si>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</si>
  <si>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</si>
  <si>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</si>
  <si>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</si>
  <si>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</si>
  <si>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</si>
  <si>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</si>
  <si>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</si>
  <si>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</si>
  <si>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</si>
  <si>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</si>
  <si>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</si>
  <si>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</si>
  <si>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</si>
  <si>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</si>
  <si>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</si>
  <si>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</si>
  <si>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</si>
  <si>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</si>
  <si>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</si>
  <si>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</si>
  <si>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</si>
  <si>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</si>
  <si>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</si>
  <si>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</si>
  <si>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</si>
  <si>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</si>
  <si>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</si>
  <si>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</si>
  <si>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</si>
  <si>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</si>
  <si>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</si>
  <si>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</si>
  <si>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</si>
  <si>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</si>
  <si>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</si>
  <si>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</si>
  <si>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</si>
  <si>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</si>
  <si>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</si>
  <si>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</si>
  <si>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</si>
  <si>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</si>
  <si>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</si>
  <si>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</si>
  <si>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</si>
  <si>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</si>
  <si>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</si>
  <si>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</si>
  <si>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</si>
  <si>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</si>
  <si>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</si>
  <si>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</si>
  <si>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</si>
  <si>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</si>
  <si>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</si>
  <si>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</si>
  <si>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</si>
  <si>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</si>
  <si>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</si>
  <si>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</si>
  <si>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</si>
  <si>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</si>
  <si>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</si>
  <si>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</si>
  <si>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</si>
  <si>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</si>
  <si>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</si>
  <si>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</si>
  <si>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</si>
  <si>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</si>
  <si>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</si>
  <si>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</si>
  <si>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</si>
  <si>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</si>
  <si>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</si>
  <si>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</si>
  <si>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</si>
  <si>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</si>
  <si>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</si>
  <si>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</si>
  <si>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</si>
  <si>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</si>
  <si>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</si>
  <si>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</si>
  <si>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</si>
  <si>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</si>
  <si>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</si>
  <si>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</si>
  <si>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</si>
  <si>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</si>
  <si>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</si>
  <si>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</si>
  <si>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</si>
  <si>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</si>
  <si>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</si>
  <si>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</si>
  <si>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</si>
  <si>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</si>
  <si>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</si>
  <si>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</si>
  <si>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</si>
  <si>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</si>
  <si>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</si>
  <si>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</si>
  <si>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</si>
  <si>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</si>
  <si>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</si>
  <si>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</si>
  <si>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</si>
  <si>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</si>
  <si>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</si>
  <si>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</si>
  <si>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</si>
  <si>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</si>
  <si>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</si>
  <si>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</si>
  <si>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</si>
  <si>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</si>
  <si>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</si>
  <si>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</si>
  <si>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</si>
  <si>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</si>
  <si>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</si>
  <si>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</si>
  <si>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</si>
  <si>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</si>
  <si>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</si>
  <si>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</si>
  <si>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</si>
  <si>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</si>
  <si>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</si>
  <si>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</si>
  <si>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</si>
  <si>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</si>
  <si>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</si>
  <si>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</si>
  <si>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</si>
  <si>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</si>
  <si>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</si>
  <si>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</si>
  <si>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</si>
  <si>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</si>
  <si>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</si>
  <si>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</si>
  <si>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</si>
  <si>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</si>
  <si>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</si>
  <si>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</si>
  <si>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</si>
  <si>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</si>
  <si>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</si>
  <si>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</si>
  <si>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</si>
  <si>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</si>
  <si>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</si>
  <si>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</si>
  <si>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</si>
  <si>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</si>
  <si>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</si>
  <si>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</si>
  <si>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</si>
  <si>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</si>
  <si>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</si>
  <si>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</si>
  <si>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</si>
  <si>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</si>
  <si>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</si>
  <si>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</si>
  <si>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</si>
  <si>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</si>
  <si>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</si>
  <si>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</si>
  <si>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</si>
  <si>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</si>
  <si>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</si>
  <si>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</si>
  <si>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</si>
  <si>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</si>
  <si>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</si>
  <si>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</si>
  <si>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</si>
  <si>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</si>
  <si>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</si>
  <si>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</si>
  <si>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</si>
  <si>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</si>
  <si>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</si>
  <si>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</si>
  <si>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</si>
  <si>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</si>
  <si>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</si>
  <si>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</si>
  <si>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</si>
  <si>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</si>
  <si>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</si>
  <si>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</si>
  <si>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</si>
  <si>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</si>
  <si>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</si>
  <si>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</si>
  <si>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</si>
  <si>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</si>
  <si>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</si>
  <si>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</si>
  <si>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</si>
  <si>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</si>
  <si>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</si>
  <si>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</si>
  <si>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</si>
  <si>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</si>
  <si>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</si>
  <si>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</si>
  <si>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</si>
  <si>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</si>
  <si>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</si>
  <si>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</si>
  <si>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</si>
  <si>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</si>
  <si>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</si>
  <si>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</si>
  <si>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</si>
  <si>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</si>
  <si>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</si>
  <si>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</si>
  <si>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</si>
  <si>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</si>
  <si>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</si>
  <si>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</si>
  <si>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</si>
  <si>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</si>
  <si>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</si>
  <si>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</si>
  <si>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</si>
  <si>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</si>
  <si>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</si>
  <si>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</si>
  <si>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</si>
  <si>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</si>
  <si>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</si>
  <si>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</si>
  <si>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</si>
  <si>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</si>
  <si>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</si>
  <si>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</si>
  <si>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</si>
  <si>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</si>
  <si>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</si>
  <si>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</si>
  <si>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</si>
  <si>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</si>
  <si>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</si>
  <si>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</si>
  <si>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</si>
  <si>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</si>
  <si>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</si>
  <si>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</si>
  <si>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</si>
  <si>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</si>
  <si>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</si>
  <si>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</si>
  <si>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</si>
  <si>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</si>
  <si>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</si>
  <si>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</si>
  <si>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</si>
  <si>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</si>
  <si>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</si>
  <si>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</si>
  <si>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</si>
  <si>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</si>
  <si>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</si>
  <si>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</si>
  <si>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</si>
  <si>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</si>
  <si>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</si>
  <si>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</si>
  <si>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</si>
  <si>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</si>
  <si>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</si>
  <si>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</si>
  <si>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</si>
  <si>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</si>
  <si>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</si>
  <si>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</si>
  <si>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</si>
  <si>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</si>
  <si>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</si>
  <si>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</si>
  <si>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</si>
  <si>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</si>
  <si>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</si>
  <si>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</si>
  <si>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</si>
  <si>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</si>
  <si>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</si>
  <si>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</si>
  <si>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</si>
  <si>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</si>
  <si>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</si>
  <si>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</si>
  <si>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</si>
  <si>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</si>
  <si>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</si>
  <si>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</si>
  <si>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</si>
  <si>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</si>
  <si>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</si>
  <si>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</si>
  <si>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</si>
  <si>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</si>
  <si>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</si>
  <si>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</si>
  <si>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</si>
  <si>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</si>
  <si>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</si>
  <si>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</si>
  <si>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</si>
  <si>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</si>
  <si>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</si>
  <si>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</si>
  <si>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</si>
  <si>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</si>
  <si>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</si>
  <si>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</si>
  <si>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</si>
  <si>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</si>
  <si>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</si>
  <si>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</si>
  <si>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</si>
  <si>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</si>
  <si>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</si>
  <si>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</si>
  <si>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</si>
  <si>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</si>
  <si>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</si>
  <si>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</si>
  <si>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</si>
  <si>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</si>
  <si>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</si>
  <si>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</si>
  <si>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</si>
  <si>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</si>
  <si>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</si>
  <si>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</si>
  <si>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</si>
  <si>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</si>
  <si>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</si>
  <si>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</si>
  <si>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</si>
  <si>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</si>
  <si>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</si>
  <si>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</si>
  <si>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</si>
  <si>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</si>
  <si>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</si>
  <si>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</si>
  <si>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</si>
  <si>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</si>
  <si>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</si>
  <si>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</si>
  <si>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</si>
  <si>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</si>
  <si>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</si>
  <si>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</si>
  <si>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</si>
  <si>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</si>
  <si>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</si>
  <si>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</si>
  <si>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</si>
  <si>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</si>
  <si>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</si>
  <si>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</si>
  <si>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</si>
  <si>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</si>
  <si>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</si>
  <si>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</si>
  <si>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</si>
  <si>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</si>
  <si>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</si>
  <si>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</si>
  <si>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</si>
  <si>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</si>
  <si>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</si>
  <si>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</si>
  <si>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</si>
  <si>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</si>
  <si>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</si>
  <si>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</si>
  <si>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</si>
  <si>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</si>
  <si>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</si>
  <si>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</si>
  <si>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</si>
  <si>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</si>
  <si>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</si>
  <si>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</si>
  <si>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</si>
  <si>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</si>
  <si>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</si>
  <si>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</si>
  <si>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</si>
  <si>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</si>
  <si>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</si>
  <si>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</si>
  <si>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</si>
  <si>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</si>
  <si>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</si>
  <si>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</si>
  <si>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</si>
  <si>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</si>
  <si>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</si>
  <si>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</si>
  <si>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</si>
  <si>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</si>
  <si>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</si>
  <si>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</si>
  <si>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</si>
  <si>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</si>
  <si>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</si>
  <si>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</si>
  <si>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</si>
  <si>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</si>
  <si>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</si>
  <si>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</si>
  <si>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</si>
  <si>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</si>
  <si>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</si>
  <si>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</si>
  <si>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</si>
  <si>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</si>
  <si>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</si>
  <si>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</si>
  <si>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</si>
  <si>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</si>
  <si>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</si>
  <si>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</si>
  <si>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</si>
  <si>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</si>
  <si>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</si>
  <si>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</si>
  <si>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</si>
  <si>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</si>
  <si>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</si>
  <si>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</si>
  <si>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</si>
  <si>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</si>
  <si>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</si>
  <si>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</si>
  <si>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</si>
  <si>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</si>
  <si>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</si>
  <si>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</si>
  <si>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</si>
  <si>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</si>
  <si>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</si>
  <si>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</si>
  <si>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</si>
  <si>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</si>
  <si>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</si>
  <si>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</si>
  <si>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</si>
  <si>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</si>
  <si>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</si>
  <si>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</si>
  <si>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</si>
  <si>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</si>
  <si>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</si>
  <si>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</si>
  <si>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</si>
  <si>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</si>
  <si>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</si>
  <si>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</si>
  <si>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</si>
  <si>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</si>
  <si>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</si>
  <si>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</si>
  <si>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</si>
  <si>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</si>
  <si>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</si>
  <si>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</si>
  <si>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</si>
  <si>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</si>
  <si>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</si>
  <si>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</si>
  <si>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</si>
  <si>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</si>
  <si>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</si>
  <si>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</si>
  <si>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</si>
  <si>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</si>
  <si>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</si>
  <si>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</si>
  <si>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</si>
  <si>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</si>
  <si>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</si>
  <si>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</si>
  <si>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</si>
  <si>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</si>
  <si>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</si>
  <si>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</si>
  <si>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</si>
  <si>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</si>
  <si>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</si>
  <si>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</si>
  <si>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</si>
  <si>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</si>
  <si>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</si>
  <si>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</si>
  <si>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</si>
  <si>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</si>
  <si>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</si>
  <si>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</si>
  <si>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</si>
  <si>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</si>
  <si>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</si>
  <si>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</si>
  <si>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</si>
  <si>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</si>
  <si>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</si>
  <si>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</si>
  <si>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</si>
  <si>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</si>
  <si>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</si>
  <si>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</si>
  <si>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</si>
  <si>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</si>
  <si>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</si>
  <si>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</si>
  <si>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</si>
  <si>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</si>
  <si>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</si>
  <si>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</si>
  <si>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</si>
  <si>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</si>
  <si>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</si>
  <si>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</si>
  <si>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</si>
  <si>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</si>
  <si>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</si>
  <si>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</si>
  <si>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</si>
  <si>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</si>
  <si>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</si>
  <si>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</si>
  <si>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</si>
  <si>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</si>
  <si>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</si>
  <si>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</si>
  <si>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</si>
  <si>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</si>
  <si>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</si>
  <si>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</si>
  <si>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</si>
  <si>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</si>
  <si>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</si>
  <si>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</si>
  <si>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</si>
  <si>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</si>
  <si>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</si>
  <si>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</si>
  <si>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</si>
  <si>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</si>
  <si>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</si>
  <si>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</si>
  <si>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</si>
  <si>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</si>
  <si>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</si>
  <si>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</si>
  <si>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</si>
  <si>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</si>
  <si>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</si>
  <si>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</si>
  <si>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</si>
  <si>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</si>
  <si>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</si>
  <si>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</si>
  <si>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</si>
  <si>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</si>
  <si>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</si>
  <si>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</si>
  <si>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</si>
  <si>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</si>
  <si>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</si>
  <si>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</si>
  <si>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</si>
  <si>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</si>
  <si>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</si>
  <si>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</si>
  <si>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</si>
  <si>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</si>
  <si>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</si>
  <si>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</si>
  <si>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</si>
  <si>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</si>
  <si>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</si>
  <si>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</si>
  <si>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</si>
  <si>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</si>
  <si>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</si>
  <si>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</si>
  <si>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</si>
  <si>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</si>
  <si>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</si>
  <si>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</si>
  <si>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</si>
  <si>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</si>
  <si>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</si>
  <si>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</si>
  <si>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</si>
  <si>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</si>
  <si>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</si>
  <si>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</si>
  <si>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</si>
  <si>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</si>
  <si>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</si>
  <si>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</si>
  <si>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</si>
  <si>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</si>
  <si>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</si>
  <si>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</si>
  <si>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</si>
  <si>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</si>
  <si>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</si>
  <si>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</si>
  <si>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</si>
  <si>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</si>
  <si>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</si>
  <si>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</si>
  <si>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</si>
  <si>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</si>
  <si>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</si>
  <si>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</si>
  <si>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</si>
  <si>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</si>
  <si>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</si>
  <si>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</si>
  <si>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</si>
  <si>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</si>
  <si>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</si>
  <si>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</si>
  <si>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</si>
  <si>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</si>
  <si>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</si>
  <si>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</si>
  <si>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</si>
  <si>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</si>
  <si>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</si>
  <si>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</si>
  <si>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</si>
  <si>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</si>
  <si>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</si>
  <si>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</si>
  <si>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</si>
  <si>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</si>
  <si>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</si>
  <si>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</si>
  <si>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</si>
  <si>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</si>
  <si>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</si>
  <si>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</si>
  <si>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</si>
  <si>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</si>
  <si>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</si>
  <si>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</si>
  <si>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</si>
  <si>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</si>
  <si>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</si>
  <si>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</si>
  <si>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</si>
  <si>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</si>
  <si>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</si>
  <si>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</si>
  <si>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</si>
  <si>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</si>
  <si>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</si>
  <si>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</si>
  <si>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</si>
  <si>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</si>
  <si>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</si>
  <si>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</si>
  <si>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</si>
  <si>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</si>
  <si>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</si>
  <si>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</si>
  <si>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</si>
  <si>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</si>
  <si>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</si>
  <si>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</si>
  <si>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</si>
  <si>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</si>
  <si>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</si>
  <si>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</si>
  <si>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</si>
  <si>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</si>
  <si>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</si>
  <si>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</si>
  <si>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</si>
  <si>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</si>
  <si>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</si>
  <si>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</si>
  <si>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</si>
  <si>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</si>
  <si>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</si>
  <si>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</si>
  <si>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</si>
  <si>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</si>
  <si>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</si>
  <si>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</si>
  <si>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</si>
  <si>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</si>
  <si>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</si>
  <si>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</si>
  <si>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</si>
  <si>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</si>
  <si>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</si>
  <si>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</si>
  <si>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</si>
  <si>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</si>
  <si>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</si>
  <si>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</si>
  <si>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</si>
  <si>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</si>
  <si>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</si>
  <si>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</si>
  <si>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</si>
  <si>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</si>
  <si>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</si>
  <si>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</si>
  <si>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</si>
  <si>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</si>
  <si>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</si>
  <si>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</si>
  <si>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</si>
  <si>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</si>
  <si>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</si>
  <si>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</si>
  <si>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</si>
  <si>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</si>
  <si>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</si>
  <si>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</si>
  <si>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</si>
  <si>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</si>
  <si>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</si>
  <si>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</si>
  <si>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</si>
  <si>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</si>
  <si>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</si>
  <si>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</si>
  <si>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</si>
  <si>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</si>
  <si>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</si>
  <si>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</si>
  <si>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</si>
  <si>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</si>
  <si>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</si>
  <si>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</si>
  <si>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</si>
  <si>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</si>
  <si>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</si>
  <si>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</si>
  <si>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</si>
  <si>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</si>
  <si>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</si>
  <si>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</si>
  <si>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</si>
  <si>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</si>
  <si>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</si>
  <si>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</si>
  <si>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</si>
  <si>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</si>
  <si>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</si>
  <si>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</si>
  <si>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</si>
  <si>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</si>
  <si>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</si>
  <si>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</si>
  <si>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</si>
  <si>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</si>
  <si>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</si>
  <si>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</si>
  <si>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</si>
  <si>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</si>
  <si>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</si>
  <si>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</si>
  <si>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</si>
  <si>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</si>
  <si>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</si>
  <si>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</si>
  <si>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</si>
  <si>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</si>
  <si>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</si>
  <si>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</si>
  <si>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</si>
  <si>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</si>
  <si>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</si>
  <si>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</si>
  <si>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</si>
  <si>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</si>
  <si>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</si>
  <si>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</si>
  <si>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</si>
  <si>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</si>
  <si>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</si>
  <si>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</si>
  <si>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</si>
  <si>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</si>
  <si>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</si>
  <si>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</si>
  <si>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</si>
  <si>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</si>
  <si>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</si>
  <si>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</si>
  <si>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</si>
  <si>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</si>
  <si>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</si>
  <si>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</si>
  <si>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</si>
  <si>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</si>
  <si>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</si>
  <si>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</si>
  <si>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</si>
  <si>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</si>
  <si>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</si>
  <si>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</si>
  <si>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</si>
  <si>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</si>
  <si>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</si>
  <si>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</si>
  <si>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</si>
  <si>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</si>
  <si>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</si>
  <si>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</si>
  <si>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</si>
  <si>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</si>
  <si>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</si>
  <si>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</si>
  <si>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</si>
  <si>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</si>
  <si>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</si>
  <si>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</si>
  <si>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</si>
  <si>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</si>
  <si>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</si>
  <si>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</si>
  <si>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</si>
  <si>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</si>
  <si>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</si>
  <si>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</si>
  <si>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</si>
  <si>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</si>
  <si>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</si>
  <si>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</si>
  <si>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</si>
  <si>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</si>
  <si>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</si>
  <si>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</si>
  <si>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</si>
  <si>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</si>
  <si>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</si>
  <si>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</si>
  <si>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</si>
  <si>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</si>
  <si>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</si>
  <si>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</si>
  <si>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</si>
  <si>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</si>
  <si>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</si>
  <si>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</si>
  <si>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</si>
  <si>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</si>
  <si>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</si>
  <si>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</si>
  <si>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</si>
  <si>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</si>
  <si>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</si>
  <si>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</si>
  <si>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</si>
  <si>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</si>
  <si>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</si>
  <si>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</si>
  <si>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</si>
  <si>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</si>
  <si>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</si>
  <si>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</si>
  <si>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</si>
  <si>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</si>
  <si>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</si>
  <si>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</si>
  <si>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</si>
  <si>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</si>
  <si>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</si>
  <si>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</si>
  <si>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</si>
  <si>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</si>
  <si>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</si>
  <si>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</si>
  <si>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</si>
  <si>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</si>
  <si>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</si>
  <si>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</si>
  <si>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</si>
  <si>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</si>
  <si>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</si>
  <si>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</si>
  <si>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</si>
  <si>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</si>
  <si>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</si>
  <si>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</si>
  <si>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</si>
  <si>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</si>
  <si>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</si>
  <si>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</si>
  <si>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</si>
  <si>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</si>
  <si>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</si>
  <si>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</si>
  <si>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</si>
  <si>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</si>
  <si>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</si>
  <si>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</si>
  <si>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</si>
  <si>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</si>
  <si>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</si>
  <si>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</si>
  <si>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</si>
  <si>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</si>
  <si>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</si>
  <si>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</si>
  <si>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</si>
  <si>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</si>
  <si>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</si>
  <si>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</si>
  <si>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</si>
  <si>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</si>
  <si>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</si>
  <si>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</si>
  <si>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</si>
  <si>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</si>
  <si>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</si>
  <si>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</si>
  <si>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</si>
  <si>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</si>
  <si>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</si>
  <si>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</si>
  <si>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</si>
  <si>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</si>
  <si>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</si>
  <si>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</si>
  <si>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</si>
  <si>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</si>
  <si>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</si>
  <si>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</si>
  <si>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</si>
  <si>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</si>
  <si>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</si>
  <si>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</si>
  <si>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</si>
  <si>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</si>
  <si>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</si>
  <si>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</si>
  <si>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</si>
  <si>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</si>
  <si>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</si>
  <si>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</si>
  <si>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</si>
  <si>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</si>
  <si>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</si>
  <si>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</si>
  <si>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</si>
  <si>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</si>
  <si>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</si>
  <si>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</si>
  <si>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</si>
  <si>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</si>
  <si>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</si>
  <si>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</si>
  <si>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</si>
  <si>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</si>
  <si>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</si>
  <si>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</si>
  <si>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</si>
  <si>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</si>
  <si>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</si>
  <si>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</si>
  <si>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</si>
  <si>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</si>
  <si>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</si>
  <si>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</si>
  <si>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</si>
  <si>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</si>
  <si>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</si>
  <si>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</si>
  <si>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</si>
  <si>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</si>
  <si>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</si>
  <si>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</si>
  <si>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</si>
  <si>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</si>
  <si>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</si>
  <si>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</si>
  <si>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</si>
  <si>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</si>
  <si>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</si>
  <si>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</si>
  <si>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</si>
  <si>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</si>
  <si>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</si>
  <si>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</si>
  <si>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</si>
  <si>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</si>
  <si>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</si>
  <si>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</si>
  <si>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</si>
  <si>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</si>
  <si>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</si>
  <si>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</si>
  <si>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</si>
  <si>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</si>
  <si>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</si>
  <si>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</si>
  <si>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</si>
  <si>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</si>
  <si>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</si>
  <si>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</si>
  <si>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</si>
  <si>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</si>
  <si>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</si>
  <si>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</si>
  <si>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</si>
  <si>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</si>
  <si>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</si>
  <si>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</si>
  <si>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</si>
  <si>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</si>
  <si>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</si>
  <si>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</si>
  <si>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</si>
  <si>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</si>
  <si>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</si>
  <si>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</si>
  <si>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</si>
  <si>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</si>
  <si>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</si>
  <si>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</si>
  <si>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</si>
  <si>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</si>
  <si>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</si>
  <si>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</si>
  <si>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</si>
  <si>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</si>
  <si>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</si>
  <si>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</si>
  <si>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</si>
  <si>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</si>
  <si>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</si>
  <si>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</si>
  <si>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</si>
  <si>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</si>
  <si>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</si>
  <si>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</si>
  <si>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</si>
  <si>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</si>
  <si>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</si>
  <si>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</si>
  <si>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</si>
  <si>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</si>
  <si>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</si>
  <si>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</si>
  <si>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</si>
  <si>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</si>
  <si>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</si>
  <si>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</si>
  <si>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</si>
  <si>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</si>
  <si>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</si>
  <si>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</si>
  <si>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</si>
  <si>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</si>
  <si>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</si>
  <si>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</si>
  <si>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</si>
  <si>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</si>
  <si>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</si>
  <si>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</si>
  <si>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</si>
  <si>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</si>
  <si>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</si>
  <si>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</si>
  <si>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</si>
  <si>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</si>
  <si>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</si>
  <si>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</si>
  <si>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</si>
  <si>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</si>
  <si>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</si>
  <si>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</si>
  <si>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</si>
  <si>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</si>
  <si>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</si>
  <si>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</si>
  <si>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</si>
  <si>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</si>
  <si>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</si>
  <si>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</si>
  <si>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</si>
  <si>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</si>
  <si>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</si>
  <si>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</si>
  <si>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</si>
  <si>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</si>
  <si>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</si>
  <si>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</si>
  <si>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</si>
  <si>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</si>
  <si>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</si>
  <si>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</si>
  <si>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</si>
  <si>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</si>
  <si>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</si>
  <si>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</si>
  <si>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</si>
  <si>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</si>
  <si>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</si>
  <si>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</si>
  <si>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</si>
  <si>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</si>
  <si>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</si>
  <si>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</si>
  <si>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</si>
  <si>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</si>
  <si>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</si>
  <si>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</si>
  <si>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</si>
  <si>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</si>
  <si>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</si>
  <si>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</si>
  <si>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</si>
  <si>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</si>
  <si>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</si>
  <si>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</si>
  <si>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</si>
  <si>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</si>
  <si>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</si>
  <si>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</si>
  <si>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</si>
  <si>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</si>
  <si>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</si>
  <si>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</si>
  <si>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</si>
  <si>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</si>
  <si>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</si>
  <si>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</si>
  <si>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</si>
  <si>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</si>
  <si>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</si>
  <si>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</si>
  <si>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</si>
  <si>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</si>
  <si>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</si>
  <si>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</si>
  <si>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</si>
  <si>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</si>
  <si>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</si>
  <si>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</si>
  <si>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</si>
  <si>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</si>
  <si>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</si>
  <si>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</si>
  <si>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</si>
  <si>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</si>
  <si>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</si>
  <si>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</si>
  <si>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</si>
  <si>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</si>
  <si>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</si>
  <si>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</si>
  <si>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</si>
  <si>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</si>
  <si>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</si>
  <si>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</si>
  <si>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</si>
  <si>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</si>
  <si>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</si>
  <si>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</si>
  <si>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</si>
  <si>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</si>
  <si>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</si>
  <si>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</si>
  <si>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</si>
  <si>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</si>
  <si>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</si>
  <si>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</si>
  <si>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</si>
  <si>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</si>
  <si>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</si>
  <si>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</si>
  <si>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</si>
  <si>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</si>
  <si>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</si>
  <si>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</si>
  <si>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</si>
  <si>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</si>
  <si>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</si>
  <si>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</si>
  <si>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</si>
  <si>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</si>
  <si>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</si>
  <si>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</si>
  <si>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</si>
  <si>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</si>
  <si>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</si>
  <si>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</si>
  <si>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</si>
  <si>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</si>
  <si>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</si>
  <si>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</si>
  <si>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</si>
  <si>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</si>
  <si>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</si>
  <si>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</si>
  <si>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</si>
  <si>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</si>
  <si>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</si>
  <si>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</si>
  <si>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</si>
  <si>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</si>
  <si>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</si>
  <si>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</si>
  <si>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</si>
  <si>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</si>
  <si>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</si>
  <si>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</si>
  <si>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</si>
  <si>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</si>
  <si>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</si>
  <si>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</si>
  <si>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</si>
  <si>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</si>
  <si>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</si>
  <si>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</si>
  <si>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</si>
  <si>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</si>
  <si>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</si>
  <si>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</si>
  <si>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</si>
  <si>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</si>
  <si>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</si>
  <si>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</si>
  <si>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</si>
  <si>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</si>
  <si>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</si>
  <si>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</si>
  <si>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</si>
  <si>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</si>
  <si>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</si>
  <si>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</si>
  <si>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</si>
  <si>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</si>
  <si>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</si>
  <si>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</si>
  <si>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</si>
  <si>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</si>
  <si>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</si>
  <si>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</si>
  <si>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</si>
  <si>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</si>
  <si>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</si>
  <si>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</si>
  <si>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</si>
  <si>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</si>
  <si>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</si>
  <si>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</si>
  <si>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</si>
  <si>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</si>
  <si>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</si>
  <si>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</si>
  <si>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</si>
  <si>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</si>
  <si>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</si>
  <si>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</si>
  <si>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</si>
  <si>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</si>
  <si>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</si>
  <si>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</si>
  <si>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</si>
  <si>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</si>
  <si>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</si>
  <si>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</si>
  <si>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</si>
  <si>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</si>
  <si>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</si>
  <si>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</si>
  <si>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</si>
  <si>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</si>
  <si>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</si>
  <si>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</si>
  <si>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</si>
  <si>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</si>
  <si>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</si>
  <si>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</si>
  <si>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</si>
  <si>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</si>
  <si>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</si>
  <si>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</si>
  <si>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</si>
  <si>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</si>
  <si>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</si>
  <si>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</si>
  <si>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</si>
  <si>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</si>
  <si>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</si>
  <si>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</si>
  <si>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</si>
  <si>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</si>
  <si>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</si>
  <si>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</si>
  <si>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</si>
  <si>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</si>
  <si>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</si>
  <si>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</si>
  <si>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</si>
  <si>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</si>
  <si>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</si>
  <si>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</si>
  <si>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</si>
  <si>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</si>
  <si>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</si>
  <si>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</si>
  <si>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</si>
  <si>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</si>
  <si>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</si>
  <si>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</si>
  <si>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</si>
  <si>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</si>
  <si>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</si>
  <si>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</si>
  <si>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</si>
  <si>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</si>
  <si>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</si>
  <si>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</si>
  <si>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</si>
  <si>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</si>
  <si>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</si>
  <si>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</si>
  <si>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</si>
  <si>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</si>
  <si>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</si>
  <si>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</si>
  <si>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</si>
  <si>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</si>
  <si>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</si>
  <si>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</si>
  <si>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</si>
  <si>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</si>
  <si>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</si>
  <si>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</si>
  <si>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</si>
  <si>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</si>
  <si>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</si>
  <si>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</si>
  <si>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</si>
  <si>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</si>
  <si>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</si>
  <si>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</si>
  <si>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</si>
  <si>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</si>
  <si>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</si>
  <si>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</si>
  <si>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</si>
  <si>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</si>
  <si>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</si>
  <si>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</si>
  <si>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</si>
  <si>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</si>
  <si>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</si>
  <si>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</si>
  <si>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</si>
  <si>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</si>
  <si>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</si>
  <si>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</si>
  <si>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</si>
  <si>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</si>
  <si>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</si>
  <si>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</si>
  <si>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</si>
  <si>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</si>
  <si>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</si>
  <si>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</si>
  <si>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</si>
  <si>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</si>
  <si>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</si>
  <si>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</si>
  <si>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</si>
  <si>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</si>
  <si>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</si>
  <si>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</si>
  <si>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</si>
  <si>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</si>
  <si>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</si>
  <si>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</si>
  <si>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</si>
  <si>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</si>
  <si>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</si>
  <si>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</si>
  <si>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</si>
  <si>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</si>
  <si>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</si>
  <si>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</si>
  <si>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</si>
  <si>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</si>
  <si>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</si>
  <si>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</si>
  <si>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</si>
  <si>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</si>
  <si>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</si>
  <si>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</si>
  <si>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</si>
  <si>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</si>
  <si>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</si>
  <si>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</si>
  <si>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</si>
  <si>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</si>
  <si>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</si>
  <si>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</si>
  <si>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</si>
  <si>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</si>
  <si>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</si>
  <si>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</si>
  <si>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</si>
  <si>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</si>
  <si>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</si>
  <si>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</si>
  <si>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</si>
  <si>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</si>
  <si>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</si>
  <si>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</si>
  <si>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</si>
  <si>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</si>
  <si>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</si>
  <si>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</si>
  <si>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</si>
  <si>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</si>
  <si>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</si>
  <si>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</si>
  <si>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</si>
  <si>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</si>
  <si>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</si>
  <si>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</si>
  <si>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</si>
  <si>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</si>
  <si>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</si>
  <si>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</si>
  <si>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</si>
  <si>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</si>
  <si>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</si>
  <si>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</si>
  <si>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</si>
  <si>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</si>
  <si>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</si>
  <si>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</si>
  <si>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</si>
  <si>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</si>
  <si>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</si>
  <si>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</si>
  <si>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</si>
  <si>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</si>
  <si>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</si>
  <si>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</si>
  <si>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</si>
  <si>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</si>
  <si>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</si>
  <si>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</si>
  <si>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</si>
  <si>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</si>
  <si>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</si>
  <si>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</si>
  <si>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</si>
  <si>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</si>
  <si>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</si>
  <si>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</si>
  <si>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</si>
  <si>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</si>
  <si>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</si>
  <si>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</si>
  <si>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</si>
  <si>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</si>
  <si>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</si>
  <si>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</si>
  <si>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</si>
  <si>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</si>
  <si>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</si>
  <si>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</si>
  <si>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</si>
  <si>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</si>
  <si>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</si>
  <si>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</si>
  <si>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</si>
  <si>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</si>
  <si>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</si>
  <si>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</si>
  <si>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</si>
  <si>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</si>
  <si>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</si>
  <si>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</si>
  <si>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</si>
  <si>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</si>
  <si>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</si>
  <si>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</si>
  <si>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</si>
  <si>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</si>
  <si>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</si>
  <si>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</si>
  <si>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</si>
  <si>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</si>
  <si>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</si>
  <si>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</si>
  <si>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</si>
  <si>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</si>
  <si>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</si>
  <si>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</si>
  <si>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</si>
  <si>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</si>
  <si>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</si>
  <si>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</si>
  <si>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</si>
  <si>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</si>
  <si>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</si>
  <si>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</si>
  <si>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</si>
  <si>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</si>
  <si>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</si>
  <si>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</si>
  <si>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</si>
  <si>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</si>
  <si>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</si>
  <si>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</si>
  <si>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</si>
  <si>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</si>
  <si>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</si>
  <si>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宗地容积率</t>
  </si>
  <si>
    <t>不临65条商业街</t>
  </si>
  <si>
    <t>通路</t>
  </si>
  <si>
    <t>通讯</t>
  </si>
  <si>
    <t>通电</t>
  </si>
  <si>
    <t>通上水</t>
  </si>
  <si>
    <t>通下水</t>
  </si>
  <si>
    <t>平整</t>
  </si>
  <si>
    <t>按公示增长率计算</t>
  </si>
  <si>
    <t>中心城区</t>
  </si>
  <si>
    <t>北京市</t>
  </si>
  <si>
    <t>企业</t>
  </si>
  <si>
    <t>抵押</t>
  </si>
  <si>
    <t>房地产抵押价值</t>
  </si>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</sst>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2022年11月4日</v>
      </c>
    </row>
    <row r="13" spans="1:2" s="2762" customFormat="1">
      <c r="A13" s="2760" t="s">
        <v>742</v>
      </c>
      <c r="B13" s="2761" t="str">
        <f>'预评函-1'!A18</f>
        <v>本次估价的“房地产价值”是指在正常市场情况下，在价值时点2022年11月4日，估价对象规划用途为，土地取得方式为划拨，假定未设立法定优先受偿款下的房地产市场价值。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22" sqref="G22"/>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北京市房地产抵押价值预评估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44869</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3107</v>
      </c>
      <c r="C8" s="2897"/>
      <c r="D8" s="3035" t="s">
        <v>2439</v>
      </c>
      <c r="E8" s="2898" t="s">
        <v>3108</v>
      </c>
      <c r="F8" s="2899"/>
      <c r="G8" s="2880"/>
      <c r="H8" s="2880"/>
      <c r="I8" s="2880"/>
      <c r="J8" s="862"/>
      <c r="K8" s="2900"/>
      <c r="L8" s="2893"/>
      <c r="M8" s="2893"/>
      <c r="N8" s="862"/>
      <c r="O8" s="2893"/>
      <c r="P8" s="862"/>
      <c r="Q8" s="862"/>
      <c r="R8" s="862"/>
    </row>
    <row r="9" spans="1:28" ht="13.5" thickBot="1">
      <c r="A9" s="2901" t="s">
        <v>2440</v>
      </c>
      <c r="B9" s="2902" t="s">
        <v>3108</v>
      </c>
      <c r="C9" s="2903"/>
      <c r="D9" s="3036"/>
      <c r="E9" s="2902"/>
      <c r="F9" s="2904"/>
      <c r="G9" s="2905"/>
      <c r="H9" s="2905"/>
      <c r="I9" s="2905"/>
      <c r="J9" s="862"/>
      <c r="K9" s="2892"/>
      <c r="L9" s="2893"/>
      <c r="M9" s="2893"/>
      <c r="N9" s="862"/>
      <c r="O9" s="2893"/>
      <c r="P9" s="862"/>
      <c r="Q9" s="862"/>
      <c r="R9" s="862"/>
    </row>
    <row r="10" spans="1:28" ht="13.5" thickTop="1">
      <c r="A10" s="2906" t="s">
        <v>2441</v>
      </c>
      <c r="B10" s="2907" t="s">
        <v>3105</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3106</v>
      </c>
      <c r="C11" s="2915"/>
      <c r="D11" s="2916"/>
      <c r="E11" s="2871"/>
      <c r="F11" s="2871"/>
      <c r="G11" s="2871"/>
      <c r="H11" s="2871"/>
      <c r="I11" s="2871"/>
      <c r="J11" s="862"/>
      <c r="K11" s="2892"/>
      <c r="L11" s="2893"/>
      <c r="M11" s="2893"/>
      <c r="N11" s="862"/>
      <c r="O11" s="2893"/>
      <c r="P11" s="862"/>
      <c r="Q11" s="862"/>
      <c r="R11" s="862"/>
    </row>
    <row r="12" spans="1:28">
      <c r="A12" s="2917" t="s">
        <v>2444</v>
      </c>
      <c r="B12" s="2914" t="s">
        <v>3109</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40</v>
      </c>
      <c r="F15" s="459">
        <f>IF(B12="出让",IF(F13="","",ROUNDDOWN(MIN((F13-$D$3)/365,F14),2)),F14)</f>
        <v>0</v>
      </c>
      <c r="G15" s="459">
        <f>IF(B12="出让",IF(G13="","",ROUNDDOWN(MIN((G13-$D$3)/365,G14),2)),G14)</f>
        <v>0</v>
      </c>
      <c r="H15" s="459">
        <f>IF(B12="出让",IF(H13="","",ROUNDDOWN(MIN((H13-$D$3)/365,H14),2)),H14)</f>
        <v>0</v>
      </c>
      <c r="I15" s="459">
        <f>IF(B12="出让",IF(I13="","",ROUNDDOWN(MIN((I13-$D$3)/365,I14),2)),I14)</f>
        <v>0</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379</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2905</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44869</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44869</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北京市房地产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44869</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房地产抵押价值</v>
      </c>
      <c r="L49" s="3081"/>
      <c r="M49" s="3083" t="str">
        <f ca="1">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北京市房地产抵押价值预评估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44869</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44869</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44869</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44869</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44869</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2022年11月4日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本次估价的“房地产价值”是指在正常市场情况下，在价值时点2022年11月4日，估价对象规划用途为，土地取得方式为划拨，假定未设立法定优先受偿款下的房地产市场价值。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44869</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44869</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三级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三级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三级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三级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三级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44869</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三级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三级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三级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三级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三级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22" zoomScale="85" zoomScaleNormal="80" zoomScaleSheetLayoutView="85" workbookViewId="0">
      <selection activeCell="D34" sqref="D3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7" width="14" style="2261" bestFit="1" customWidth="1"/>
    <col min="8"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5413.53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11053</v>
      </c>
      <c r="C2" s="2266" t="s">
        <v>2172</v>
      </c>
      <c r="D2" s="473" t="s">
        <v>2173</v>
      </c>
      <c r="E2" s="2267" t="s">
        <v>886</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Ⅲ—22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35169</v>
      </c>
      <c r="U2" s="2269">
        <f>ROUND(5413.53/6,2)</f>
        <v>902.26</v>
      </c>
      <c r="V2" s="477">
        <f>ROUND(T2*U2/10000,0)</f>
        <v>3173</v>
      </c>
      <c r="W2" s="2262"/>
      <c r="X2" s="2262"/>
      <c r="Y2" s="2262"/>
      <c r="Z2" s="2262"/>
      <c r="AA2" s="2262"/>
      <c r="AB2" s="2262"/>
      <c r="AC2" s="2262"/>
      <c r="AD2" s="2263"/>
      <c r="AE2" s="2263"/>
      <c r="AF2" s="2263"/>
      <c r="AG2" s="2263"/>
      <c r="AH2" s="2263"/>
      <c r="AI2" s="2263"/>
      <c r="AJ2" s="2264"/>
    </row>
    <row r="3" spans="1:36" ht="15.75">
      <c r="A3" s="2265" t="s">
        <v>2177</v>
      </c>
      <c r="B3" s="2265">
        <f>ROUND(B2*10000/D1,0)</f>
        <v>20417</v>
      </c>
      <c r="C3" s="2266" t="s">
        <v>2178</v>
      </c>
      <c r="D3" s="473" t="s">
        <v>2179</v>
      </c>
      <c r="E3" s="2267" t="s">
        <v>2823</v>
      </c>
      <c r="F3" s="2270" t="s">
        <v>3095</v>
      </c>
      <c r="G3" s="2271">
        <f>ROUND(6531.86/994.92,2)</f>
        <v>6.57</v>
      </c>
      <c r="H3" s="473" t="s">
        <v>2180</v>
      </c>
      <c r="I3" s="2271"/>
      <c r="J3" s="2258" t="s">
        <v>2181</v>
      </c>
      <c r="L3" s="2268" t="s">
        <v>2182</v>
      </c>
      <c r="M3" s="475">
        <f>SUMPRODUCT((区片价!B30:B54=I2)*(区片价!C3:G3=E2)*(区片价!C30:G54))</f>
        <v>23000</v>
      </c>
      <c r="N3" s="473">
        <f>SUMPRODUCT((因素修正幅度!B30:B54=I2)*(因素修正幅度!C3:G3=E2)*(因素修正幅度!C30:G54))</f>
        <v>9.9000000000000005E-2</v>
      </c>
      <c r="O3" s="2259"/>
      <c r="P3" s="2259"/>
      <c r="Q3" s="2259"/>
      <c r="R3" s="477">
        <v>2</v>
      </c>
      <c r="S3" s="477">
        <f>ROUND(SUMPRODUCT((B107:B111=R3)*(C106:N106=G2)*(C107:N111)),4)</f>
        <v>1.1838</v>
      </c>
      <c r="T3" s="477">
        <f t="shared" si="0"/>
        <v>27720</v>
      </c>
      <c r="U3" s="2269">
        <f>U2</f>
        <v>902.26</v>
      </c>
      <c r="V3" s="477">
        <f t="shared" ref="V3:V16" si="1">ROUND(T3*U3/10000,0)</f>
        <v>2501</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23428</v>
      </c>
      <c r="U4" s="2269">
        <f>U2</f>
        <v>902.26</v>
      </c>
      <c r="V4" s="477">
        <f t="shared" si="1"/>
        <v>2114</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22964</v>
      </c>
      <c r="D5" s="2274">
        <f>ROUND(C6*C17+C20,0)</f>
        <v>22964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20663</v>
      </c>
      <c r="U5" s="2269">
        <f>U2</f>
        <v>902.26</v>
      </c>
      <c r="V5" s="477">
        <f t="shared" si="1"/>
        <v>1864</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19857</v>
      </c>
      <c r="U6" s="2269">
        <v>1804.49</v>
      </c>
      <c r="V6" s="477">
        <f t="shared" si="1"/>
        <v>3583</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6.57</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f>SUM(V2:V6)</f>
        <v>13235</v>
      </c>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9" t="s">
        <v>2237</v>
      </c>
      <c r="E20" s="3280"/>
      <c r="F20" s="3279" t="s">
        <v>2234</v>
      </c>
      <c r="G20" s="3280"/>
      <c r="H20" s="2347" t="s">
        <v>3097</v>
      </c>
      <c r="I20" s="2347" t="s">
        <v>3098</v>
      </c>
      <c r="J20" s="2989" t="s">
        <v>3099</v>
      </c>
      <c r="K20" s="2347" t="s">
        <v>3100</v>
      </c>
      <c r="L20" s="2347" t="s">
        <v>3101</v>
      </c>
      <c r="M20" s="2347" t="s">
        <v>3102</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3090</v>
      </c>
      <c r="G21" s="485">
        <f>SUM(H21:O21)</f>
        <v>225</v>
      </c>
      <c r="H21" s="482">
        <f>SUMPRODUCT((七通一平=H20)*(修正!B1:M1=G2)*(修正!B8:M16))</f>
        <v>70</v>
      </c>
      <c r="I21" s="482">
        <f>SUMPRODUCT((七通一平=I20)*(修正!B1:M1=G2)*(修正!B8:M16))</f>
        <v>15</v>
      </c>
      <c r="J21" s="486">
        <f>SUMPRODUCT((七通一平=J20)*(修正!B1:M1=G2)*(修正!B8:M16))</f>
        <v>60</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44869</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367">
        <f>项目基本情况!E15</f>
        <v>40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0.87190000000000001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0.87190000000000001</v>
      </c>
      <c r="E26" s="493">
        <f>ROUNDDOWN(G3,1)</f>
        <v>6.5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0.87339999999999995</v>
      </c>
      <c r="G26" s="493">
        <f>ROUNDUP(G3,1)</f>
        <v>6.6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0.87119999999999997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11053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20417</v>
      </c>
      <c r="D33" s="2420">
        <v>5413.53</v>
      </c>
      <c r="E33" s="2421">
        <f>ROUND(C33*D33/10000,0)</f>
        <v>11053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5104</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14050</v>
      </c>
      <c r="D37" s="2420"/>
      <c r="E37" s="473">
        <f>ROUND(C37*D37/10000,0)</f>
        <v>0</v>
      </c>
      <c r="F37" s="473">
        <f>SUMIF(修正!A57:A68,G2,修正!B57:B68)</f>
        <v>0.6</v>
      </c>
      <c r="G37" s="473">
        <f>ROUND(IF(E2="工业",C37*$M$42,C37*$M$41),0)</f>
        <v>3513</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7025</v>
      </c>
      <c r="D38" s="2420"/>
      <c r="E38" s="473">
        <f t="shared" ref="E38:E42" si="4">ROUND(C38*D38/10000,0)</f>
        <v>0</v>
      </c>
      <c r="F38" s="473">
        <f>SUMIF(修正!A57:A68,G2,修正!C57:C68)</f>
        <v>0.3</v>
      </c>
      <c r="G38" s="473">
        <f>ROUND(IF(E2="工业",C38*$M$42,C38*$M$41),0)</f>
        <v>1756</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5854</v>
      </c>
      <c r="D39" s="2420"/>
      <c r="E39" s="473">
        <f t="shared" si="4"/>
        <v>0</v>
      </c>
      <c r="F39" s="473">
        <f>SUMIF(修正!A57:A68,G2,修正!D57:D68)</f>
        <v>0.25</v>
      </c>
      <c r="G39" s="473">
        <f>ROUND(IF(E2="工业",C39*$M$42,C39*$M$41),0)</f>
        <v>1464</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5854</v>
      </c>
      <c r="D40" s="2420"/>
      <c r="E40" s="473">
        <f t="shared" si="4"/>
        <v>0</v>
      </c>
      <c r="F40" s="495">
        <f>SUMIF(修正!A57:A68,G2,修正!E57:E68)</f>
        <v>0.25</v>
      </c>
      <c r="G40" s="473">
        <f>ROUND(IF(E2="工业",C40*$M$42,C40*$M$41),0)</f>
        <v>1464</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f>IF(E2="商业",SUMIF(L1:L12,G2,N1:N12),"——")</f>
        <v>9.9000000000000005E-2</v>
      </c>
      <c r="G51" s="2459"/>
      <c r="H51" s="2460">
        <f t="shared" ref="H51:H59" si="8">IFERROR(ROUNDDOWN($F$51*I51/2,4),"——")</f>
        <v>1.4800000000000001E-2</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f t="shared" si="8"/>
        <v>1.0800000000000001E-2</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f t="shared" si="8"/>
        <v>5.8999999999999999E-3</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f t="shared" si="8"/>
        <v>2.3999999999999998E-3</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f t="shared" si="8"/>
        <v>3.8999999999999998E-3</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f t="shared" si="8"/>
        <v>2.3999999999999998E-3</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f t="shared" si="8"/>
        <v>2.3999999999999998E-3</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f t="shared" si="8"/>
        <v>3.8999999999999998E-3</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f t="shared" si="8"/>
        <v>2.3999999999999998E-3</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6.57</v>
      </c>
      <c r="C117" s="2365" t="s">
        <v>2318</v>
      </c>
      <c r="D117" s="500">
        <f>SUMPRODUCT((A119:A123=F117)*(B118:M118=H117)*B119:M123)</f>
        <v>0.85699999999999998</v>
      </c>
      <c r="E117" s="473" t="s">
        <v>2173</v>
      </c>
      <c r="F117" s="501" t="str">
        <f>E2</f>
        <v>商业</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0.92449999999999999</v>
      </c>
      <c r="C119" s="502">
        <f>B119</f>
        <v>0.92449999999999999</v>
      </c>
      <c r="D119" s="502">
        <f>ROUND(0.949-0.014*B117,4)</f>
        <v>0.85699999999999998</v>
      </c>
      <c r="E119" s="502">
        <f>D119</f>
        <v>0.85699999999999998</v>
      </c>
      <c r="F119" s="502">
        <f>E119</f>
        <v>0.85699999999999998</v>
      </c>
      <c r="G119" s="502">
        <f>F119</f>
        <v>0.85699999999999998</v>
      </c>
      <c r="H119" s="502">
        <f>G119</f>
        <v>0.85699999999999998</v>
      </c>
      <c r="I119" s="502">
        <f>ROUND(0.8486-0.018*B117,4)</f>
        <v>0.73029999999999995</v>
      </c>
      <c r="J119" s="502">
        <f t="shared" ref="J119:M122" si="36">I119</f>
        <v>0.73029999999999995</v>
      </c>
      <c r="K119" s="502">
        <f t="shared" si="36"/>
        <v>0.73029999999999995</v>
      </c>
      <c r="L119" s="502">
        <f t="shared" si="36"/>
        <v>0.73029999999999995</v>
      </c>
      <c r="M119" s="504">
        <f t="shared" si="36"/>
        <v>0.73029999999999995</v>
      </c>
    </row>
    <row r="120" spans="1:14">
      <c r="A120" s="2413" t="s">
        <v>2230</v>
      </c>
      <c r="B120" s="502">
        <f>ROUND(0.993-0.0112*B117,4)</f>
        <v>0.9194</v>
      </c>
      <c r="C120" s="502">
        <f>B120</f>
        <v>0.9194</v>
      </c>
      <c r="D120" s="502">
        <f>ROUND(0.9415-0.0142*B117,4)</f>
        <v>0.84819999999999995</v>
      </c>
      <c r="E120" s="502">
        <f t="shared" ref="E120:H121" si="37">D120</f>
        <v>0.84819999999999995</v>
      </c>
      <c r="F120" s="502">
        <f t="shared" si="37"/>
        <v>0.84819999999999995</v>
      </c>
      <c r="G120" s="502">
        <f t="shared" si="37"/>
        <v>0.84819999999999995</v>
      </c>
      <c r="H120" s="502">
        <f t="shared" si="37"/>
        <v>0.84819999999999995</v>
      </c>
      <c r="I120" s="502">
        <f>ROUND(0.838-0.0182*B117,4)</f>
        <v>0.71840000000000004</v>
      </c>
      <c r="J120" s="502">
        <f t="shared" si="36"/>
        <v>0.71840000000000004</v>
      </c>
      <c r="K120" s="502">
        <f t="shared" si="36"/>
        <v>0.71840000000000004</v>
      </c>
      <c r="L120" s="502">
        <f t="shared" si="36"/>
        <v>0.71840000000000004</v>
      </c>
      <c r="M120" s="504">
        <f t="shared" si="36"/>
        <v>0.71840000000000004</v>
      </c>
    </row>
    <row r="121" spans="1:14">
      <c r="A121" s="2413" t="s">
        <v>2231</v>
      </c>
      <c r="B121" s="502">
        <f>ROUND(0.9448-0.0115*B117,4)</f>
        <v>0.86919999999999997</v>
      </c>
      <c r="C121" s="502">
        <f>B121</f>
        <v>0.86919999999999997</v>
      </c>
      <c r="D121" s="502">
        <f>ROUND(0.937-0.0145*B117,4)</f>
        <v>0.8417</v>
      </c>
      <c r="E121" s="502">
        <f t="shared" si="37"/>
        <v>0.8417</v>
      </c>
      <c r="F121" s="502">
        <f t="shared" si="37"/>
        <v>0.8417</v>
      </c>
      <c r="G121" s="502">
        <f t="shared" si="37"/>
        <v>0.8417</v>
      </c>
      <c r="H121" s="502">
        <f t="shared" si="37"/>
        <v>0.8417</v>
      </c>
      <c r="I121" s="502">
        <f>ROUND(0.7965-0.0185*B117,4)</f>
        <v>0.67500000000000004</v>
      </c>
      <c r="J121" s="502">
        <f t="shared" si="36"/>
        <v>0.67500000000000004</v>
      </c>
      <c r="K121" s="502">
        <f t="shared" si="36"/>
        <v>0.67500000000000004</v>
      </c>
      <c r="L121" s="502">
        <f t="shared" si="36"/>
        <v>0.67500000000000004</v>
      </c>
      <c r="M121" s="504">
        <f t="shared" si="36"/>
        <v>0.67500000000000004</v>
      </c>
    </row>
    <row r="122" spans="1:14" ht="13.5" thickBot="1">
      <c r="A122" s="2417" t="s">
        <v>2232</v>
      </c>
      <c r="B122" s="503">
        <f>ROUND(0.7836-0.012*B117,4)</f>
        <v>0.70479999999999998</v>
      </c>
      <c r="C122" s="503">
        <f>B122</f>
        <v>0.70479999999999998</v>
      </c>
      <c r="D122" s="503">
        <f>ROUND(0.753-0.015*B117,4)</f>
        <v>0.65449999999999997</v>
      </c>
      <c r="E122" s="503">
        <f>D122</f>
        <v>0.65449999999999997</v>
      </c>
      <c r="F122" s="503">
        <f>E122</f>
        <v>0.65449999999999997</v>
      </c>
      <c r="G122" s="503">
        <f>ROUND(0.6612-0.018*B117,4)</f>
        <v>0.54290000000000005</v>
      </c>
      <c r="H122" s="503">
        <f>G122</f>
        <v>0.54290000000000005</v>
      </c>
      <c r="I122" s="503">
        <f>ROUND(0.5905-0.019*B117,4)</f>
        <v>0.4657</v>
      </c>
      <c r="J122" s="503">
        <f t="shared" si="36"/>
        <v>0.4657</v>
      </c>
      <c r="K122" s="503">
        <f t="shared" si="36"/>
        <v>0.4657</v>
      </c>
      <c r="L122" s="503">
        <f t="shared" si="36"/>
        <v>0.4657</v>
      </c>
      <c r="M122" s="505">
        <f t="shared" si="36"/>
        <v>0.4657</v>
      </c>
    </row>
    <row r="123" spans="1:14">
      <c r="A123" s="2492" t="s">
        <v>2901</v>
      </c>
      <c r="B123" s="502">
        <f>ROUND(0.9404-0.0106*B117,4)</f>
        <v>0.87080000000000002</v>
      </c>
      <c r="C123" s="502">
        <f>B123</f>
        <v>0.87080000000000002</v>
      </c>
      <c r="D123" s="502">
        <f>ROUND(0.8955-0.0135*B117,4)</f>
        <v>0.80679999999999996</v>
      </c>
      <c r="E123" s="502">
        <f t="shared" ref="E123" si="38">D123</f>
        <v>0.80679999999999996</v>
      </c>
      <c r="F123" s="502">
        <f t="shared" ref="F123" si="39">E123</f>
        <v>0.80679999999999996</v>
      </c>
      <c r="G123" s="502">
        <f t="shared" ref="G123" si="40">F123</f>
        <v>0.80679999999999996</v>
      </c>
      <c r="H123" s="502">
        <f t="shared" ref="H123" si="41">G123</f>
        <v>0.80679999999999996</v>
      </c>
      <c r="I123" s="502">
        <f>ROUND(0.7632-0.0166*B117,4)</f>
        <v>0.65410000000000001</v>
      </c>
      <c r="J123" s="502">
        <f t="shared" ref="J123" si="42">I123</f>
        <v>0.65410000000000001</v>
      </c>
      <c r="K123" s="502">
        <f t="shared" ref="K123" si="43">J123</f>
        <v>0.65410000000000001</v>
      </c>
      <c r="L123" s="502">
        <f t="shared" ref="L123" si="44">K123</f>
        <v>0.65410000000000001</v>
      </c>
      <c r="M123" s="504">
        <f t="shared" ref="M123" si="45">L123</f>
        <v>0.65410000000000001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0.86009999999999998</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0.81810000000000005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11053</v>
      </c>
      <c r="C2" s="2543" t="s">
        <v>2332</v>
      </c>
      <c r="D2" s="2543" t="s">
        <v>2333</v>
      </c>
      <c r="E2" s="2544">
        <f ca="1">SUMIF(E6:E13,"&lt;&gt;#ref!",E6:E13)</f>
        <v>5413.53</v>
      </c>
      <c r="F2" s="2542"/>
      <c r="G2" s="2542"/>
      <c r="H2" s="2542"/>
      <c r="I2" s="2542"/>
      <c r="J2" s="2542"/>
      <c r="K2" s="2542"/>
      <c r="L2" s="2542"/>
      <c r="M2" s="2542"/>
      <c r="N2" s="2542"/>
      <c r="O2" s="2542"/>
      <c r="P2" s="2542"/>
    </row>
    <row r="3" spans="1:16" ht="15.75">
      <c r="A3" s="2543" t="s">
        <v>2334</v>
      </c>
      <c r="B3" s="1704">
        <f ca="1">ROUND(B2*10000/E2,0)</f>
        <v>20417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11053</v>
      </c>
      <c r="C6" s="2543" t="s">
        <v>2332</v>
      </c>
      <c r="D6" s="2542"/>
      <c r="E6" s="2544">
        <f ca="1">SUMIF(INDIRECT("'"&amp;A6&amp;"'"&amp;"!C:C"),"建筑面积",INDIRECT("'"&amp;A6&amp;"'"&amp;"!D:D"))</f>
        <v>5413.53</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44869</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115" zoomScaleNormal="90" zoomScaleSheetLayoutView="115" workbookViewId="0">
      <selection activeCell="C17" sqref="C17"/>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44869</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44872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2022-03-25T05:42:40Z</cp:lastPrinted>
  <dcterms:created xsi:type="dcterms:W3CDTF">2015-07-13T07:17:23Z</dcterms:created>
  <dcterms:modified xsi:type="dcterms:W3CDTF">2022-11-07T02:22:26Z</dcterms:modified>
</cp:coreProperties>
</file>